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9550" windowHeight="11820" activeTab="0"/>
  </bookViews>
  <sheets>
    <sheet name="Kundendaten" sheetId="1" r:id="rId1"/>
    <sheet name="Tarifpreise ab 2023" sheetId="2" r:id="rId2"/>
  </sheets>
  <definedNames/>
  <calcPr fullCalcOnLoad="1"/>
</workbook>
</file>

<file path=xl/comments1.xml><?xml version="1.0" encoding="utf-8"?>
<comments xmlns="http://schemas.openxmlformats.org/spreadsheetml/2006/main">
  <authors>
    <author>QV</author>
  </authors>
  <commentList>
    <comment ref="J8" authorId="0">
      <text>
        <r>
          <rPr>
            <sz val="11"/>
            <rFont val="Calibri"/>
            <family val="2"/>
          </rPr>
          <t xml:space="preserve">Den </t>
        </r>
        <r>
          <rPr>
            <b/>
            <sz val="11"/>
            <rFont val="Calibri"/>
            <family val="2"/>
          </rPr>
          <t>Anschlusswert</t>
        </r>
        <r>
          <rPr>
            <sz val="11"/>
            <rFont val="Calibri"/>
            <family val="2"/>
          </rPr>
          <t xml:space="preserve"> finden Sie explizit auf Seite 3 der </t>
        </r>
        <r>
          <rPr>
            <b/>
            <sz val="11"/>
            <rFont val="Calibri"/>
            <family val="2"/>
          </rPr>
          <t xml:space="preserve">Jahresrechnung 2018 </t>
        </r>
        <r>
          <rPr>
            <sz val="11"/>
            <rFont val="Calibri"/>
            <family val="2"/>
          </rPr>
          <t>in der Zeile mit dem Grundpreis. 
In späteren Rechnungen muss man die kW-Zahl im Grundpreis heranziehen oder im neuen Wäremvertrag.
Bis zu einem Anschlusswert von 20 kW brauchen sie hier nichts einzusetzen, da bis zu diesem Wert eine Pauschale angesesetzt wird.</t>
        </r>
      </text>
    </comment>
    <comment ref="J9" authorId="0">
      <text>
        <r>
          <rPr>
            <sz val="11"/>
            <color indexed="10"/>
            <rFont val="Calibri"/>
            <family val="2"/>
          </rPr>
          <t>Sollte keine wesentliche Veränderung Ihres Wärmebedarfes absehbar sein, können Sie mit diesen Verbrauchszahlen auch in Zukunft rechnen.</t>
        </r>
      </text>
    </comment>
  </commentList>
</comments>
</file>

<file path=xl/sharedStrings.xml><?xml version="1.0" encoding="utf-8"?>
<sst xmlns="http://schemas.openxmlformats.org/spreadsheetml/2006/main" count="154" uniqueCount="67">
  <si>
    <t xml:space="preserve">Anschlusswert: </t>
  </si>
  <si>
    <t>kW</t>
  </si>
  <si>
    <t>MWh</t>
  </si>
  <si>
    <t>Tarif</t>
  </si>
  <si>
    <t xml:space="preserve">Jahresverbrauchskosten </t>
  </si>
  <si>
    <t>€/kW</t>
  </si>
  <si>
    <t>€</t>
  </si>
  <si>
    <t xml:space="preserve">Netto </t>
  </si>
  <si>
    <t>Brutto</t>
  </si>
  <si>
    <t xml:space="preserve">Grundpreise Zone 1 </t>
  </si>
  <si>
    <t>€/MWh</t>
  </si>
  <si>
    <t>Grundpreise Zone 2</t>
  </si>
  <si>
    <t>Grundpreise Zone 3</t>
  </si>
  <si>
    <t>Vollbenutzungsstunden</t>
  </si>
  <si>
    <t>€/kW/a</t>
  </si>
  <si>
    <t>Ihren  Anschlusswert und Ihren Jahresverbrauch bitte hier eingeben:</t>
  </si>
  <si>
    <t>0-50 kW</t>
  </si>
  <si>
    <t>50-100 kW</t>
  </si>
  <si>
    <t>Preise für Tarif Komfort - bisheriger Tarif</t>
  </si>
  <si>
    <t>Preise für Tarif Garant - neuer Tarif nach Mediation</t>
  </si>
  <si>
    <t>100-500 kW</t>
  </si>
  <si>
    <t>Basis 2020</t>
  </si>
  <si>
    <t>Basis 2021</t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</si>
  <si>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-Preis</t>
    </r>
  </si>
  <si>
    <t>Preiserhöhung Komfort</t>
  </si>
  <si>
    <t>Arbeitspreis inkl. Konzessionsabgabe und CO2-Preis</t>
  </si>
  <si>
    <t>mit CO2</t>
  </si>
  <si>
    <t>geplant</t>
  </si>
  <si>
    <t>aktuell</t>
  </si>
  <si>
    <t>Basis 2022</t>
  </si>
  <si>
    <t>Mehrwertsteuersatz 2023</t>
  </si>
  <si>
    <t>Arbeitspreis inkl. Konzessionsabgabe und CO2-Preis für 20 % des Verbrauches</t>
  </si>
  <si>
    <t>Arbeitspreis inkl. Konzessionsabgabe und CO2-Preis für 80 % des Verbrauches</t>
  </si>
  <si>
    <t>MwSt. %</t>
  </si>
  <si>
    <t>Der Preis pro kWh ergibt sich bei dieser Berechnung aus dem Gesamtrechungsbetrag und dem Verbrauch (also inklusive Grund- und Arbeitspreis).</t>
  </si>
  <si>
    <t>Netto</t>
  </si>
  <si>
    <t>€/MW/a</t>
  </si>
  <si>
    <t>Emissionspreis</t>
  </si>
  <si>
    <t>Konzessionsabgabe</t>
  </si>
  <si>
    <t>Summe Staat</t>
  </si>
  <si>
    <t>Grundpauschale bis 20 kW Anschlussleistung:</t>
  </si>
  <si>
    <t>Grundpauschale über 20 kW Anschlussleistung:</t>
  </si>
  <si>
    <t>Regio</t>
  </si>
  <si>
    <t>Arbeitspreis ohne Abgaben</t>
  </si>
  <si>
    <t>Hausanschlusskosten</t>
  </si>
  <si>
    <t>Baukostenzuschuss bis 10 kW</t>
  </si>
  <si>
    <t>Baukostenzuschuss von 10 bis 30 kW</t>
  </si>
  <si>
    <t>Baukostenzuschuss über 30 kW</t>
  </si>
  <si>
    <t>Hausanschlusskosten bis 25 kW</t>
  </si>
  <si>
    <t>Mehrwertsteuersatz 2024</t>
  </si>
  <si>
    <t>indiv.</t>
  </si>
  <si>
    <t>jedes weitere kW</t>
  </si>
  <si>
    <t>Hausanschusskosten bis 20 kW (bis 10 m Rohrleitungsbau)</t>
  </si>
  <si>
    <t>Hausanschlusskosten bis 50 kW (bis 10 m Rohrleitungsbau)</t>
  </si>
  <si>
    <t>Arbeitspreis inkl. Abgaben (bei Garant kommt noch der CO2-Preis dazu)</t>
  </si>
  <si>
    <t>Gasspeicherumlage</t>
  </si>
  <si>
    <t>Tarif Regio 2024</t>
  </si>
  <si>
    <t>Werte inkl. aller staatlichen Abgaben - Emmsionspreis (CO2-Abgabe), Gasspeicherumlage und Konzessionsabgabe)</t>
  </si>
  <si>
    <t>Preis</t>
  </si>
  <si>
    <t>C…M</t>
  </si>
  <si>
    <t>11 monatliche Abschläge</t>
  </si>
  <si>
    <t>UP R4</t>
  </si>
  <si>
    <t>Tarifblatt SWBB - Online 1.2.2024</t>
  </si>
  <si>
    <t>Cent/kW</t>
  </si>
  <si>
    <r>
      <rPr>
        <b/>
        <sz val="14"/>
        <color indexed="30"/>
        <rFont val="Calibri"/>
        <family val="2"/>
      </rPr>
      <t>Jahresverbrauch: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(geschätzt für 2024 oder von der letzten Rechnung eingeben)</t>
    </r>
  </si>
  <si>
    <t>Hier wird mit 19 % MwSt. für das ganze Jahr gerechnet. Stand 9. Feb. 2024 ist aber noch nicht klar, ab wann dieser MwSt.-Satz fällig wird. Die SWBB werden die entsprechende</t>
  </si>
  <si>
    <t>Werte aber in der Jahresrechnung berücksichtigen. Die hier berechneten Vorauszahlungen liegen deshalb etwas höher als die von der SWBB angeforderten.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</si>
</sst>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0.000"/>
    <numFmt numFmtId="167" formatCode="#,##0\ &quot;€&quot;"/>
    <numFmt numFmtId="168" formatCode="#,##0.000\ &quot;€&quot;"/>
    <numFmt numFmtId="169" formatCode="#,##0.0"/>
    <numFmt numFmtId="170" formatCode="0.0"/>
  </numFmts>
  <fonts count="72">
    <font>
      <sz val="11"/>
      <color theme="1"/>
      <name val="Calibri"/>
      <family val="2"/>
    </font>
    <font>
      <sz val="12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30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25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1"/>
      <color indexed="30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10"/>
      <name val="Calibri"/>
      <family val="2"/>
    </font>
    <font>
      <sz val="14"/>
      <color indexed="62"/>
      <name val="Calibri"/>
      <family val="2"/>
    </font>
    <font>
      <sz val="11"/>
      <color indexed="62"/>
      <name val="Calibri"/>
      <family val="2"/>
    </font>
    <font>
      <sz val="11"/>
      <color indexed="57"/>
      <name val="Calibri"/>
      <family val="2"/>
    </font>
    <font>
      <sz val="14"/>
      <color indexed="57"/>
      <name val="Calibri"/>
      <family val="2"/>
    </font>
    <font>
      <sz val="9"/>
      <color indexed="8"/>
      <name val="Calibri"/>
      <family val="2"/>
    </font>
    <font>
      <sz val="11"/>
      <color indexed="2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1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4"/>
      <color rgb="FFFF0000"/>
      <name val="Calibri"/>
      <family val="2"/>
    </font>
    <font>
      <sz val="11"/>
      <color rgb="FFFF0000"/>
      <name val="Calibri"/>
      <family val="2"/>
    </font>
    <font>
      <sz val="14"/>
      <color theme="8"/>
      <name val="Calibri"/>
      <family val="2"/>
    </font>
    <font>
      <sz val="11"/>
      <color theme="8"/>
      <name val="Calibri"/>
      <family val="2"/>
    </font>
    <font>
      <sz val="11"/>
      <color theme="9" tint="-0.24997000396251678"/>
      <name val="Calibri"/>
      <family val="2"/>
    </font>
    <font>
      <sz val="14"/>
      <color theme="9" tint="-0.24997000396251678"/>
      <name val="Calibri"/>
      <family val="2"/>
    </font>
    <font>
      <sz val="9"/>
      <color theme="1"/>
      <name val="Calibri"/>
      <family val="2"/>
    </font>
    <font>
      <sz val="11"/>
      <color theme="0" tint="-0.1499900072813034"/>
      <name val="Calibri"/>
      <family val="2"/>
    </font>
    <font>
      <b/>
      <sz val="14"/>
      <color rgb="FF0070C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 horizontal="right" vertical="center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4" fillId="33" borderId="18" xfId="0" applyFont="1" applyFill="1" applyBorder="1" applyAlignment="1">
      <alignment/>
    </xf>
    <xf numFmtId="0" fontId="38" fillId="33" borderId="18" xfId="0" applyFont="1" applyFill="1" applyBorder="1" applyAlignment="1">
      <alignment/>
    </xf>
    <xf numFmtId="0" fontId="38" fillId="33" borderId="19" xfId="0" applyFont="1" applyFill="1" applyBorder="1" applyAlignment="1">
      <alignment/>
    </xf>
    <xf numFmtId="0" fontId="57" fillId="33" borderId="20" xfId="0" applyFont="1" applyFill="1" applyBorder="1" applyAlignment="1">
      <alignment/>
    </xf>
    <xf numFmtId="0" fontId="58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9" fillId="33" borderId="0" xfId="0" applyFont="1" applyFill="1" applyBorder="1" applyAlignment="1">
      <alignment/>
    </xf>
    <xf numFmtId="0" fontId="0" fillId="0" borderId="11" xfId="0" applyBorder="1" applyAlignment="1">
      <alignment/>
    </xf>
    <xf numFmtId="0" fontId="58" fillId="0" borderId="0" xfId="0" applyFont="1" applyBorder="1" applyAlignment="1">
      <alignment/>
    </xf>
    <xf numFmtId="0" fontId="5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60" fillId="0" borderId="0" xfId="0" applyFont="1" applyBorder="1" applyAlignment="1">
      <alignment/>
    </xf>
    <xf numFmtId="166" fontId="58" fillId="8" borderId="0" xfId="0" applyNumberFormat="1" applyFont="1" applyFill="1" applyBorder="1" applyAlignment="1">
      <alignment/>
    </xf>
    <xf numFmtId="0" fontId="61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8" fillId="0" borderId="0" xfId="0" applyFont="1" applyBorder="1" applyAlignment="1">
      <alignment/>
    </xf>
    <xf numFmtId="1" fontId="0" fillId="0" borderId="0" xfId="0" applyNumberFormat="1" applyAlignment="1">
      <alignment/>
    </xf>
    <xf numFmtId="0" fontId="62" fillId="33" borderId="18" xfId="0" applyFont="1" applyFill="1" applyBorder="1" applyAlignment="1">
      <alignment/>
    </xf>
    <xf numFmtId="165" fontId="63" fillId="0" borderId="0" xfId="0" applyNumberFormat="1" applyFont="1" applyBorder="1" applyAlignment="1">
      <alignment/>
    </xf>
    <xf numFmtId="0" fontId="64" fillId="33" borderId="18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165" fontId="65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3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66" fillId="0" borderId="0" xfId="0" applyNumberFormat="1" applyFont="1" applyBorder="1" applyAlignment="1">
      <alignment/>
    </xf>
    <xf numFmtId="0" fontId="60" fillId="33" borderId="10" xfId="0" applyFont="1" applyFill="1" applyBorder="1" applyAlignment="1">
      <alignment/>
    </xf>
    <xf numFmtId="165" fontId="63" fillId="0" borderId="10" xfId="0" applyNumberFormat="1" applyFont="1" applyBorder="1" applyAlignment="1">
      <alignment/>
    </xf>
    <xf numFmtId="0" fontId="67" fillId="33" borderId="19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60" fillId="0" borderId="10" xfId="0" applyFont="1" applyFill="1" applyBorder="1" applyAlignment="1">
      <alignment/>
    </xf>
    <xf numFmtId="0" fontId="60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1" fontId="68" fillId="0" borderId="0" xfId="0" applyNumberFormat="1" applyFont="1" applyBorder="1" applyAlignment="1">
      <alignment/>
    </xf>
    <xf numFmtId="0" fontId="38" fillId="0" borderId="11" xfId="0" applyFont="1" applyBorder="1" applyAlignment="1">
      <alignment/>
    </xf>
    <xf numFmtId="9" fontId="0" fillId="0" borderId="0" xfId="0" applyNumberForma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4" fontId="0" fillId="33" borderId="0" xfId="0" applyNumberForma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" vertical="center"/>
    </xf>
    <xf numFmtId="166" fontId="0" fillId="0" borderId="21" xfId="0" applyNumberFormat="1" applyBorder="1" applyAlignment="1">
      <alignment/>
    </xf>
    <xf numFmtId="166" fontId="0" fillId="0" borderId="23" xfId="0" applyNumberFormat="1" applyBorder="1" applyAlignment="1">
      <alignment/>
    </xf>
    <xf numFmtId="0" fontId="0" fillId="33" borderId="10" xfId="0" applyFill="1" applyBorder="1" applyAlignment="1" quotePrefix="1">
      <alignment horizontal="left"/>
    </xf>
    <xf numFmtId="166" fontId="0" fillId="36" borderId="21" xfId="0" applyNumberFormat="1" applyFill="1" applyBorder="1" applyAlignment="1">
      <alignment/>
    </xf>
    <xf numFmtId="0" fontId="0" fillId="33" borderId="11" xfId="0" applyFill="1" applyBorder="1" applyAlignment="1" quotePrefix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57" fillId="33" borderId="0" xfId="0" applyFont="1" applyFill="1" applyBorder="1" applyAlignment="1" quotePrefix="1">
      <alignment horizontal="left"/>
    </xf>
    <xf numFmtId="0" fontId="60" fillId="0" borderId="0" xfId="0" applyFont="1" applyAlignment="1">
      <alignment/>
    </xf>
    <xf numFmtId="0" fontId="44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/>
    </xf>
    <xf numFmtId="0" fontId="0" fillId="0" borderId="0" xfId="0" applyAlignment="1" quotePrefix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4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/>
    </xf>
    <xf numFmtId="0" fontId="60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 quotePrefix="1">
      <alignment horizontal="left"/>
    </xf>
    <xf numFmtId="0" fontId="0" fillId="0" borderId="11" xfId="0" applyBorder="1" applyAlignment="1" quotePrefix="1">
      <alignment horizontal="center" vertical="center"/>
    </xf>
    <xf numFmtId="167" fontId="0" fillId="0" borderId="11" xfId="0" applyNumberFormat="1" applyBorder="1" applyAlignment="1">
      <alignment/>
    </xf>
    <xf numFmtId="0" fontId="44" fillId="33" borderId="15" xfId="0" applyFont="1" applyFill="1" applyBorder="1" applyAlignment="1">
      <alignment/>
    </xf>
    <xf numFmtId="0" fontId="60" fillId="33" borderId="17" xfId="0" applyFont="1" applyFill="1" applyBorder="1" applyAlignment="1">
      <alignment/>
    </xf>
    <xf numFmtId="0" fontId="68" fillId="0" borderId="0" xfId="0" applyFont="1" applyAlignment="1" quotePrefix="1">
      <alignment horizontal="left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167" fontId="0" fillId="0" borderId="25" xfId="0" applyNumberFormat="1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  <xf numFmtId="167" fontId="0" fillId="0" borderId="27" xfId="0" applyNumberFormat="1" applyBorder="1" applyAlignment="1">
      <alignment horizontal="center" vertical="center"/>
    </xf>
    <xf numFmtId="164" fontId="69" fillId="0" borderId="0" xfId="0" applyNumberFormat="1" applyFont="1" applyFill="1" applyBorder="1" applyAlignment="1">
      <alignment/>
    </xf>
    <xf numFmtId="0" fontId="38" fillId="0" borderId="0" xfId="0" applyFont="1" applyBorder="1" applyAlignment="1" quotePrefix="1">
      <alignment horizontal="left"/>
    </xf>
    <xf numFmtId="0" fontId="55" fillId="33" borderId="0" xfId="0" applyFont="1" applyFill="1" applyBorder="1" applyAlignment="1" quotePrefix="1">
      <alignment horizontal="left"/>
    </xf>
    <xf numFmtId="0" fontId="55" fillId="33" borderId="0" xfId="0" applyFont="1" applyFill="1" applyBorder="1" applyAlignment="1">
      <alignment/>
    </xf>
    <xf numFmtId="0" fontId="5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164" fontId="58" fillId="33" borderId="0" xfId="0" applyNumberFormat="1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 quotePrefix="1">
      <alignment horizontal="center" vertical="center"/>
    </xf>
    <xf numFmtId="0" fontId="44" fillId="0" borderId="0" xfId="0" applyFont="1" applyBorder="1" applyAlignment="1" quotePrefix="1">
      <alignment horizontal="right"/>
    </xf>
    <xf numFmtId="0" fontId="70" fillId="0" borderId="0" xfId="0" applyFont="1" applyBorder="1" applyAlignment="1" quotePrefix="1">
      <alignment horizontal="left"/>
    </xf>
    <xf numFmtId="0" fontId="57" fillId="0" borderId="0" xfId="0" applyFont="1" applyBorder="1" applyAlignment="1" quotePrefix="1">
      <alignment horizontal="left"/>
    </xf>
    <xf numFmtId="0" fontId="0" fillId="0" borderId="0" xfId="0" applyFill="1" applyBorder="1" applyAlignment="1" quotePrefix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8" fillId="13" borderId="18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2</xdr:row>
      <xdr:rowOff>28575</xdr:rowOff>
    </xdr:from>
    <xdr:to>
      <xdr:col>12</xdr:col>
      <xdr:colOff>762000</xdr:colOff>
      <xdr:row>3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171450"/>
          <a:ext cx="723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6"/>
  <sheetViews>
    <sheetView tabSelected="1" zoomScalePageLayoutView="0" workbookViewId="0" topLeftCell="B1">
      <selection activeCell="G36" sqref="G36"/>
    </sheetView>
  </sheetViews>
  <sheetFormatPr defaultColWidth="11.421875" defaultRowHeight="15"/>
  <cols>
    <col min="1" max="1" width="1.1484375" style="0" customWidth="1"/>
    <col min="2" max="2" width="1.421875" style="0" customWidth="1"/>
    <col min="3" max="3" width="28.28125" style="0" customWidth="1"/>
    <col min="4" max="4" width="8.140625" style="0" customWidth="1"/>
    <col min="5" max="5" width="15.57421875" style="0" customWidth="1"/>
    <col min="6" max="7" width="15.421875" style="0" customWidth="1"/>
    <col min="8" max="8" width="15.00390625" style="0" customWidth="1"/>
    <col min="9" max="9" width="5.421875" style="0" customWidth="1"/>
    <col min="10" max="10" width="1.1484375" style="0" customWidth="1"/>
    <col min="11" max="11" width="11.8515625" style="0" customWidth="1"/>
    <col min="12" max="12" width="15.421875" style="0" customWidth="1"/>
    <col min="13" max="13" width="12.00390625" style="0" customWidth="1"/>
    <col min="14" max="14" width="10.140625" style="0" customWidth="1"/>
    <col min="15" max="15" width="13.28125" style="0" customWidth="1"/>
    <col min="16" max="16" width="4.421875" style="0" customWidth="1"/>
  </cols>
  <sheetData>
    <row r="1" ht="5.25" customHeight="1" thickBot="1"/>
    <row r="2" spans="2:15" ht="6" customHeight="1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2:15" ht="18.75">
      <c r="B3" s="21"/>
      <c r="C3" s="83" t="s">
        <v>56</v>
      </c>
      <c r="D3" s="116" t="s">
        <v>62</v>
      </c>
      <c r="E3" s="117"/>
      <c r="F3" s="118"/>
      <c r="G3" s="118"/>
      <c r="H3" s="118"/>
      <c r="I3" s="23"/>
      <c r="J3" s="23"/>
      <c r="K3" s="2"/>
      <c r="L3" s="2"/>
      <c r="M3" s="2"/>
      <c r="N3" s="70">
        <v>45254</v>
      </c>
      <c r="O3" s="81" t="s">
        <v>61</v>
      </c>
    </row>
    <row r="4" spans="2:15" ht="15" customHeight="1">
      <c r="B4" s="21"/>
      <c r="C4" s="25"/>
      <c r="D4" s="25"/>
      <c r="E4" s="25"/>
      <c r="F4" s="22"/>
      <c r="G4" s="22"/>
      <c r="H4" s="22"/>
      <c r="I4" s="22"/>
      <c r="J4" s="22"/>
      <c r="K4" s="22"/>
      <c r="L4" s="22"/>
      <c r="M4" s="22"/>
      <c r="N4" s="22"/>
      <c r="O4" s="24"/>
    </row>
    <row r="5" spans="2:15" ht="6.7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4"/>
    </row>
    <row r="6" spans="2:15" ht="18.75">
      <c r="B6" s="21"/>
      <c r="C6" s="26" t="s">
        <v>15</v>
      </c>
      <c r="D6" s="27"/>
      <c r="E6" s="27"/>
      <c r="F6" s="27"/>
      <c r="G6" s="27"/>
      <c r="H6" s="27"/>
      <c r="I6" s="22"/>
      <c r="J6" s="22"/>
      <c r="K6" s="22"/>
      <c r="L6" s="22"/>
      <c r="M6" s="22"/>
      <c r="N6" s="22"/>
      <c r="O6" s="24"/>
    </row>
    <row r="7" spans="2:15" ht="6.75" customHeight="1">
      <c r="B7" s="21"/>
      <c r="C7" s="28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4"/>
    </row>
    <row r="8" spans="2:15" ht="18.75">
      <c r="B8" s="21"/>
      <c r="C8" s="129" t="s">
        <v>0</v>
      </c>
      <c r="D8" s="25"/>
      <c r="E8" s="25"/>
      <c r="F8" s="25"/>
      <c r="G8" s="25"/>
      <c r="H8" s="29">
        <v>10</v>
      </c>
      <c r="I8" s="35" t="s">
        <v>1</v>
      </c>
      <c r="J8" s="22"/>
      <c r="K8" s="114">
        <f>+('Tarifpreise ab 2023'!$L$6)+($H$9*'Tarifpreise ab 2023'!$L$9)</f>
        <v>2323.5642500000004</v>
      </c>
      <c r="L8" s="114">
        <f>+('Tarifpreise ab 2023'!$L$6)+($H$8-20)*'Tarifpreise ab 2023'!L7+($H$9*'Tarifpreise ab 2023'!$L$9)</f>
        <v>1942.7642500000002</v>
      </c>
      <c r="M8" s="22"/>
      <c r="N8" s="22"/>
      <c r="O8" s="24"/>
    </row>
    <row r="9" spans="2:15" ht="18.75">
      <c r="B9" s="21"/>
      <c r="C9" s="130" t="s">
        <v>64</v>
      </c>
      <c r="D9" s="25"/>
      <c r="E9" s="25"/>
      <c r="F9" s="25"/>
      <c r="G9" s="25"/>
      <c r="H9" s="29">
        <v>15</v>
      </c>
      <c r="I9" s="35" t="s">
        <v>2</v>
      </c>
      <c r="J9" s="22"/>
      <c r="K9" s="22"/>
      <c r="L9" s="22"/>
      <c r="M9" s="22"/>
      <c r="N9" s="22"/>
      <c r="O9" s="24"/>
    </row>
    <row r="10" spans="2:15" ht="4.5" customHeight="1">
      <c r="B10" s="21"/>
      <c r="C10" s="28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4"/>
    </row>
    <row r="11" spans="2:15" ht="15">
      <c r="B11" s="21"/>
      <c r="C11" s="63" t="s">
        <v>13</v>
      </c>
      <c r="D11" s="30"/>
      <c r="E11" s="30"/>
      <c r="F11" s="30"/>
      <c r="G11" s="30"/>
      <c r="H11" s="66">
        <f>1000*H9/H8</f>
        <v>1500</v>
      </c>
      <c r="I11" s="22"/>
      <c r="J11" s="22"/>
      <c r="K11" s="22"/>
      <c r="L11" s="22"/>
      <c r="M11" s="22"/>
      <c r="N11" s="22"/>
      <c r="O11" s="24"/>
    </row>
    <row r="12" spans="2:15" ht="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4"/>
    </row>
    <row r="13" spans="2:15" ht="18.75">
      <c r="B13" s="21"/>
      <c r="C13" s="25"/>
      <c r="D13" s="63" t="s">
        <v>33</v>
      </c>
      <c r="E13" s="122" t="s">
        <v>3</v>
      </c>
      <c r="F13" s="123" t="s">
        <v>58</v>
      </c>
      <c r="G13" s="120"/>
      <c r="H13" s="28"/>
      <c r="I13" s="28"/>
      <c r="J13" s="22"/>
      <c r="K13" s="22"/>
      <c r="L13" s="125"/>
      <c r="M13" s="22"/>
      <c r="N13" s="126"/>
      <c r="O13" s="24"/>
    </row>
    <row r="14" spans="2:15" ht="18.75">
      <c r="B14" s="21"/>
      <c r="C14" s="31" t="s">
        <v>4</v>
      </c>
      <c r="D14" s="25"/>
      <c r="E14" s="124" t="s">
        <v>42</v>
      </c>
      <c r="F14" s="127" t="s">
        <v>63</v>
      </c>
      <c r="G14" s="22"/>
      <c r="H14" s="65"/>
      <c r="I14" s="65"/>
      <c r="J14" s="22"/>
      <c r="K14" s="22"/>
      <c r="L14" s="22"/>
      <c r="M14" s="22"/>
      <c r="N14" s="126"/>
      <c r="O14" s="24"/>
    </row>
    <row r="15" spans="2:15" ht="6.75" customHeight="1">
      <c r="B15" s="21"/>
      <c r="C15" s="22"/>
      <c r="D15" s="64"/>
      <c r="E15" s="119"/>
      <c r="F15" s="22"/>
      <c r="G15" s="62"/>
      <c r="H15" s="22"/>
      <c r="I15" s="22"/>
      <c r="J15" s="22"/>
      <c r="K15" s="22"/>
      <c r="L15" s="22"/>
      <c r="M15" s="22"/>
      <c r="N15" s="126"/>
      <c r="O15" s="24"/>
    </row>
    <row r="16" spans="2:15" ht="18.75" customHeight="1">
      <c r="B16" s="21"/>
      <c r="C16" s="25">
        <v>2024</v>
      </c>
      <c r="D16" s="68">
        <f>+'Tarifpreise ab 2023'!$D$35</f>
        <v>0.19</v>
      </c>
      <c r="E16" s="121">
        <f>IF(H8&gt;=20,L8,K8)</f>
        <v>2323.5642500000004</v>
      </c>
      <c r="F16" s="49">
        <f>+E16/H9/10</f>
        <v>15.490428333333336</v>
      </c>
      <c r="G16" s="69"/>
      <c r="H16" s="82"/>
      <c r="I16" s="82"/>
      <c r="J16" s="22"/>
      <c r="K16" s="22"/>
      <c r="L16" s="22"/>
      <c r="M16" s="22"/>
      <c r="N16" s="126"/>
      <c r="O16" s="24"/>
    </row>
    <row r="17" spans="2:15" ht="6.75" customHeight="1">
      <c r="B17" s="21"/>
      <c r="C17" s="25"/>
      <c r="D17" s="22"/>
      <c r="E17" s="121"/>
      <c r="F17" s="22"/>
      <c r="G17" s="22"/>
      <c r="H17" s="22"/>
      <c r="I17" s="22"/>
      <c r="J17" s="22"/>
      <c r="K17" s="22"/>
      <c r="L17" s="22"/>
      <c r="M17" s="22"/>
      <c r="N17" s="22"/>
      <c r="O17" s="24"/>
    </row>
    <row r="18" spans="2:15" ht="20.25" customHeight="1">
      <c r="B18" s="21"/>
      <c r="C18" s="128" t="s">
        <v>60</v>
      </c>
      <c r="D18" s="22"/>
      <c r="E18" s="121">
        <f>+E16/11</f>
        <v>211.23311363636367</v>
      </c>
      <c r="F18" s="22"/>
      <c r="G18" s="22"/>
      <c r="H18" s="22"/>
      <c r="I18" s="22"/>
      <c r="J18" s="22"/>
      <c r="K18" s="22"/>
      <c r="L18" s="22"/>
      <c r="M18" s="22"/>
      <c r="N18" s="22"/>
      <c r="O18" s="24"/>
    </row>
    <row r="19" spans="2:15" ht="6.75" customHeight="1">
      <c r="B19" s="21"/>
      <c r="C19" s="25"/>
      <c r="D19" s="22"/>
      <c r="E19" s="22"/>
      <c r="F19" s="22"/>
      <c r="G19" s="22"/>
      <c r="H19" s="22"/>
      <c r="I19" s="22"/>
      <c r="J19" s="22"/>
      <c r="K19" s="22"/>
      <c r="L19" s="22"/>
      <c r="M19" s="35"/>
      <c r="N19" s="35"/>
      <c r="O19" s="24"/>
    </row>
    <row r="20" spans="2:15" ht="6.75" customHeight="1">
      <c r="B20" s="21"/>
      <c r="C20" s="25"/>
      <c r="D20" s="22"/>
      <c r="E20" s="22"/>
      <c r="F20" s="22"/>
      <c r="G20" s="22"/>
      <c r="H20" s="22"/>
      <c r="I20" s="22"/>
      <c r="J20" s="22"/>
      <c r="K20" s="22"/>
      <c r="L20" s="22"/>
      <c r="M20" s="35"/>
      <c r="N20" s="35"/>
      <c r="O20" s="24"/>
    </row>
    <row r="21" spans="2:15" ht="15.75">
      <c r="B21" s="21"/>
      <c r="C21" s="115" t="s">
        <v>57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67"/>
    </row>
    <row r="22" spans="2:15" ht="15.75">
      <c r="B22" s="21"/>
      <c r="C22" s="35" t="s">
        <v>34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67"/>
    </row>
    <row r="23" spans="2:15" ht="15.75">
      <c r="B23" s="21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67"/>
    </row>
    <row r="24" spans="2:15" ht="15.75">
      <c r="B24" s="21"/>
      <c r="C24" s="35" t="s">
        <v>65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67"/>
    </row>
    <row r="25" spans="2:15" ht="15.75">
      <c r="B25" s="21"/>
      <c r="C25" s="35" t="s">
        <v>66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67"/>
    </row>
    <row r="26" spans="2:15" ht="6" customHeight="1" thickBo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</row>
    <row r="30" ht="15.75">
      <c r="C30" s="85"/>
    </row>
    <row r="31" ht="15">
      <c r="C31" s="103"/>
    </row>
    <row r="33" ht="5.25" customHeight="1"/>
    <row r="36" ht="15">
      <c r="C36" s="8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52"/>
  <sheetViews>
    <sheetView zoomScalePageLayoutView="0" workbookViewId="0" topLeftCell="A22">
      <selection activeCell="L9" sqref="L9"/>
    </sheetView>
  </sheetViews>
  <sheetFormatPr defaultColWidth="11.421875" defaultRowHeight="15"/>
  <cols>
    <col min="1" max="1" width="1.8515625" style="0" customWidth="1"/>
    <col min="2" max="2" width="19.140625" style="0" customWidth="1"/>
    <col min="3" max="3" width="14.00390625" style="0" customWidth="1"/>
    <col min="4" max="5" width="13.8515625" style="0" customWidth="1"/>
    <col min="6" max="6" width="13.7109375" style="0" customWidth="1"/>
    <col min="7" max="7" width="7.140625" style="0" customWidth="1"/>
    <col min="8" max="8" width="8.140625" style="0" customWidth="1"/>
    <col min="9" max="9" width="8.8515625" style="0" customWidth="1"/>
    <col min="10" max="10" width="7.57421875" style="0" customWidth="1"/>
    <col min="11" max="11" width="7.8515625" style="0" customWidth="1"/>
    <col min="12" max="12" width="10.140625" style="0" customWidth="1"/>
    <col min="13" max="13" width="7.8515625" style="0" customWidth="1"/>
    <col min="14" max="14" width="8.7109375" style="0" customWidth="1"/>
    <col min="15" max="15" width="7.140625" style="0" customWidth="1"/>
    <col min="17" max="17" width="7.7109375" style="0" customWidth="1"/>
    <col min="19" max="19" width="7.140625" style="0" customWidth="1"/>
    <col min="20" max="20" width="7.8515625" style="0" customWidth="1"/>
    <col min="21" max="21" width="6.8515625" style="0" customWidth="1"/>
    <col min="22" max="24" width="8.00390625" style="0" customWidth="1"/>
    <col min="25" max="25" width="8.7109375" style="0" customWidth="1"/>
    <col min="26" max="26" width="8.57421875" style="0" customWidth="1"/>
  </cols>
  <sheetData>
    <row r="1" ht="8.25" customHeight="1" thickBot="1"/>
    <row r="2" spans="2:26" ht="19.5" thickBot="1">
      <c r="B2" s="16" t="s">
        <v>19</v>
      </c>
      <c r="C2" s="13"/>
      <c r="D2" s="14"/>
      <c r="E2" s="14"/>
      <c r="F2" s="14"/>
      <c r="G2" s="14"/>
      <c r="H2" s="143">
        <v>2023</v>
      </c>
      <c r="I2" s="143"/>
      <c r="J2" s="15"/>
      <c r="K2" s="136">
        <v>2024</v>
      </c>
      <c r="L2" s="137"/>
      <c r="N2" s="50" t="s">
        <v>26</v>
      </c>
      <c r="Q2" s="50" t="s">
        <v>26</v>
      </c>
      <c r="U2" s="50" t="s">
        <v>26</v>
      </c>
      <c r="Z2" t="s">
        <v>59</v>
      </c>
    </row>
    <row r="3" spans="2:12" ht="6" customHeight="1">
      <c r="B3" s="1"/>
      <c r="C3" s="2"/>
      <c r="D3" s="2"/>
      <c r="E3" s="2"/>
      <c r="F3" s="2"/>
      <c r="G3" s="7"/>
      <c r="H3" s="8"/>
      <c r="I3" s="7"/>
      <c r="J3" s="10"/>
      <c r="K3" s="75"/>
      <c r="L3" s="75"/>
    </row>
    <row r="4" spans="2:12" ht="15">
      <c r="B4" s="1"/>
      <c r="C4" s="2"/>
      <c r="D4" s="2"/>
      <c r="E4" s="2"/>
      <c r="F4" s="2"/>
      <c r="G4" s="141" t="s">
        <v>7</v>
      </c>
      <c r="H4" s="142"/>
      <c r="I4" s="141" t="s">
        <v>8</v>
      </c>
      <c r="J4" s="144"/>
      <c r="K4" s="76" t="s">
        <v>35</v>
      </c>
      <c r="L4" s="76" t="s">
        <v>8</v>
      </c>
    </row>
    <row r="5" spans="2:12" ht="5.25" customHeight="1">
      <c r="B5" s="1"/>
      <c r="C5" s="2"/>
      <c r="D5" s="2"/>
      <c r="E5" s="2"/>
      <c r="F5" s="2"/>
      <c r="G5" s="11"/>
      <c r="H5" s="3"/>
      <c r="I5" s="55"/>
      <c r="J5" s="2"/>
      <c r="K5" s="74"/>
      <c r="L5" s="74"/>
    </row>
    <row r="6" spans="2:12" ht="15">
      <c r="B6" s="79" t="s">
        <v>40</v>
      </c>
      <c r="C6" s="2"/>
      <c r="D6" s="2"/>
      <c r="E6" s="2"/>
      <c r="F6" s="2"/>
      <c r="G6" s="1">
        <v>120</v>
      </c>
      <c r="H6" s="3" t="s">
        <v>6</v>
      </c>
      <c r="I6" s="12">
        <f>+G6*($D$35+1)</f>
        <v>142.79999999999998</v>
      </c>
      <c r="J6" s="2" t="s">
        <v>6</v>
      </c>
      <c r="K6" s="80">
        <v>250</v>
      </c>
      <c r="L6" s="80">
        <f>+K6*($D$35+1)</f>
        <v>297.5</v>
      </c>
    </row>
    <row r="7" spans="2:12" ht="15">
      <c r="B7" s="1" t="s">
        <v>41</v>
      </c>
      <c r="C7" s="2"/>
      <c r="D7" s="2"/>
      <c r="E7" s="2"/>
      <c r="F7" s="2"/>
      <c r="G7" s="1">
        <v>12</v>
      </c>
      <c r="H7" s="3" t="s">
        <v>5</v>
      </c>
      <c r="I7" s="12">
        <f>+G7*($D$35+1)</f>
        <v>14.28</v>
      </c>
      <c r="J7" s="2" t="s">
        <v>5</v>
      </c>
      <c r="K7" s="80">
        <v>32</v>
      </c>
      <c r="L7" s="80">
        <f aca="true" t="shared" si="0" ref="L7:L13">+K7*($D$35+1)</f>
        <v>38.08</v>
      </c>
    </row>
    <row r="8" spans="2:30" ht="15">
      <c r="B8" s="79" t="s">
        <v>43</v>
      </c>
      <c r="C8" s="2"/>
      <c r="D8" s="2"/>
      <c r="E8" s="2"/>
      <c r="F8" s="2"/>
      <c r="G8" s="1">
        <v>84.8</v>
      </c>
      <c r="H8" s="3" t="s">
        <v>10</v>
      </c>
      <c r="I8" s="12">
        <f>+G8*($D$35+1)</f>
        <v>100.91199999999999</v>
      </c>
      <c r="J8" s="2" t="s">
        <v>10</v>
      </c>
      <c r="K8" s="77">
        <v>110.8</v>
      </c>
      <c r="L8" s="77">
        <f t="shared" si="0"/>
        <v>131.852</v>
      </c>
      <c r="N8" s="47">
        <f>+I8+M33</f>
        <v>101.7212</v>
      </c>
      <c r="Q8" s="47">
        <f>+I8+Q33</f>
        <v>101.9473</v>
      </c>
      <c r="R8" s="47"/>
      <c r="U8" s="47">
        <f>+I8+U33</f>
        <v>102.45899999999999</v>
      </c>
      <c r="AA8" s="72" t="s">
        <v>35</v>
      </c>
      <c r="AB8" s="72" t="s">
        <v>7</v>
      </c>
      <c r="AC8" s="72" t="s">
        <v>8</v>
      </c>
      <c r="AD8" s="72" t="s">
        <v>8</v>
      </c>
    </row>
    <row r="9" spans="2:30" ht="15">
      <c r="B9" s="79" t="s">
        <v>54</v>
      </c>
      <c r="C9" s="2"/>
      <c r="D9" s="2"/>
      <c r="E9" s="2"/>
      <c r="F9" s="2"/>
      <c r="G9" s="1">
        <f>84.8+0.31</f>
        <v>85.11</v>
      </c>
      <c r="H9" s="3" t="s">
        <v>10</v>
      </c>
      <c r="I9" s="12">
        <f>+G9*($D$35+1)</f>
        <v>101.28089999999999</v>
      </c>
      <c r="J9" s="2" t="s">
        <v>10</v>
      </c>
      <c r="K9" s="80">
        <f>+K13+K8</f>
        <v>113.505</v>
      </c>
      <c r="L9" s="80">
        <f>+L13+L8</f>
        <v>135.07095</v>
      </c>
      <c r="N9" s="47"/>
      <c r="Q9" s="47"/>
      <c r="R9" s="47"/>
      <c r="U9" s="47"/>
      <c r="AA9" s="72"/>
      <c r="AB9" s="72"/>
      <c r="AC9" s="72"/>
      <c r="AD9" s="72"/>
    </row>
    <row r="10" spans="2:30" ht="15">
      <c r="B10" s="1" t="s">
        <v>37</v>
      </c>
      <c r="C10" s="2"/>
      <c r="D10" s="2"/>
      <c r="E10" s="2"/>
      <c r="F10" s="2"/>
      <c r="G10" s="1"/>
      <c r="H10" s="3"/>
      <c r="I10" s="12"/>
      <c r="J10" s="2"/>
      <c r="K10" s="77">
        <v>2.025</v>
      </c>
      <c r="L10" s="77">
        <f t="shared" si="0"/>
        <v>2.40975</v>
      </c>
      <c r="N10" s="47"/>
      <c r="Q10" s="47"/>
      <c r="R10" s="47"/>
      <c r="U10" s="47"/>
      <c r="AA10" s="72"/>
      <c r="AB10" s="72"/>
      <c r="AC10" s="72"/>
      <c r="AD10" s="72"/>
    </row>
    <row r="11" spans="2:30" ht="15">
      <c r="B11" s="79" t="s">
        <v>55</v>
      </c>
      <c r="C11" s="2"/>
      <c r="D11" s="2"/>
      <c r="E11" s="2"/>
      <c r="F11" s="2"/>
      <c r="G11" s="1"/>
      <c r="H11" s="3"/>
      <c r="I11" s="12"/>
      <c r="J11" s="2"/>
      <c r="K11" s="77">
        <v>0.37</v>
      </c>
      <c r="L11" s="77">
        <f t="shared" si="0"/>
        <v>0.44029999999999997</v>
      </c>
      <c r="N11" s="47"/>
      <c r="Q11" s="47"/>
      <c r="R11" s="47"/>
      <c r="U11" s="47"/>
      <c r="AA11" s="72"/>
      <c r="AB11" s="72"/>
      <c r="AC11" s="72"/>
      <c r="AD11" s="72"/>
    </row>
    <row r="12" spans="2:30" ht="15">
      <c r="B12" s="1" t="s">
        <v>38</v>
      </c>
      <c r="C12" s="2"/>
      <c r="D12" s="2"/>
      <c r="E12" s="2"/>
      <c r="F12" s="2"/>
      <c r="G12" s="1"/>
      <c r="H12" s="3"/>
      <c r="I12" s="12"/>
      <c r="J12" s="2"/>
      <c r="K12" s="77">
        <v>0.31</v>
      </c>
      <c r="L12" s="77">
        <f t="shared" si="0"/>
        <v>0.3689</v>
      </c>
      <c r="N12" s="47"/>
      <c r="Q12" s="47"/>
      <c r="R12" s="47"/>
      <c r="U12" s="47"/>
      <c r="AA12" s="72"/>
      <c r="AB12" s="72"/>
      <c r="AC12" s="72"/>
      <c r="AD12" s="72"/>
    </row>
    <row r="13" spans="2:12" ht="15.75" thickBot="1">
      <c r="B13" s="4" t="s">
        <v>39</v>
      </c>
      <c r="C13" s="5"/>
      <c r="D13" s="5"/>
      <c r="E13" s="5"/>
      <c r="F13" s="5"/>
      <c r="G13" s="4"/>
      <c r="H13" s="6"/>
      <c r="I13" s="4"/>
      <c r="J13" s="5"/>
      <c r="K13" s="78">
        <f>+K10+K11+K12</f>
        <v>2.705</v>
      </c>
      <c r="L13" s="78">
        <f t="shared" si="0"/>
        <v>3.21895</v>
      </c>
    </row>
    <row r="14" ht="4.5" customHeight="1" thickBot="1"/>
    <row r="15" spans="2:26" ht="19.5" thickBot="1">
      <c r="B15" s="16" t="s">
        <v>18</v>
      </c>
      <c r="C15" s="17"/>
      <c r="D15" s="17"/>
      <c r="E15" s="17"/>
      <c r="F15" s="17"/>
      <c r="G15" s="138">
        <v>2020</v>
      </c>
      <c r="H15" s="139"/>
      <c r="I15" s="139"/>
      <c r="J15" s="140"/>
      <c r="K15" s="138">
        <v>2021</v>
      </c>
      <c r="L15" s="139"/>
      <c r="M15" s="139"/>
      <c r="N15" s="140"/>
      <c r="O15" s="138">
        <v>2022</v>
      </c>
      <c r="P15" s="139"/>
      <c r="Q15" s="139"/>
      <c r="R15" s="140"/>
      <c r="S15" s="138">
        <v>2023</v>
      </c>
      <c r="T15" s="139"/>
      <c r="U15" s="139"/>
      <c r="V15" s="140"/>
      <c r="W15" s="138">
        <v>2024</v>
      </c>
      <c r="X15" s="139"/>
      <c r="Y15" s="139"/>
      <c r="Z15" s="140"/>
    </row>
    <row r="16" spans="2:26" ht="6" customHeight="1">
      <c r="B16" s="7"/>
      <c r="C16" s="10"/>
      <c r="D16" s="10"/>
      <c r="E16" s="10"/>
      <c r="F16" s="8"/>
      <c r="G16" s="7"/>
      <c r="H16" s="10"/>
      <c r="I16" s="7"/>
      <c r="J16" s="8"/>
      <c r="K16" s="7"/>
      <c r="L16" s="8"/>
      <c r="M16" s="7"/>
      <c r="N16" s="8"/>
      <c r="O16" s="7"/>
      <c r="P16" s="8"/>
      <c r="Q16" s="7"/>
      <c r="R16" s="8"/>
      <c r="S16" s="7"/>
      <c r="T16" s="8"/>
      <c r="U16" s="7"/>
      <c r="V16" s="8"/>
      <c r="W16" s="7"/>
      <c r="X16" s="8"/>
      <c r="Y16" s="7"/>
      <c r="Z16" s="8"/>
    </row>
    <row r="17" spans="2:26" ht="15">
      <c r="B17" s="1"/>
      <c r="C17" s="2"/>
      <c r="D17" s="2"/>
      <c r="E17" s="2"/>
      <c r="F17" s="3"/>
      <c r="G17" s="141" t="s">
        <v>7</v>
      </c>
      <c r="H17" s="142"/>
      <c r="I17" s="141" t="s">
        <v>8</v>
      </c>
      <c r="J17" s="142"/>
      <c r="K17" s="141" t="s">
        <v>7</v>
      </c>
      <c r="L17" s="142"/>
      <c r="M17" s="141" t="s">
        <v>8</v>
      </c>
      <c r="N17" s="142"/>
      <c r="O17" s="141" t="s">
        <v>7</v>
      </c>
      <c r="P17" s="142"/>
      <c r="Q17" s="141" t="s">
        <v>8</v>
      </c>
      <c r="R17" s="142"/>
      <c r="S17" s="141" t="s">
        <v>7</v>
      </c>
      <c r="T17" s="142"/>
      <c r="U17" s="141" t="s">
        <v>8</v>
      </c>
      <c r="V17" s="142"/>
      <c r="W17" s="141" t="s">
        <v>7</v>
      </c>
      <c r="X17" s="142"/>
      <c r="Y17" s="141" t="s">
        <v>8</v>
      </c>
      <c r="Z17" s="142"/>
    </row>
    <row r="18" spans="2:26" ht="4.5" customHeight="1">
      <c r="B18" s="1"/>
      <c r="C18" s="2"/>
      <c r="D18" s="2"/>
      <c r="E18" s="2"/>
      <c r="F18" s="3"/>
      <c r="G18" s="9"/>
      <c r="H18" s="2"/>
      <c r="I18" s="9"/>
      <c r="J18" s="3"/>
      <c r="K18" s="9"/>
      <c r="L18" s="3"/>
      <c r="M18" s="9"/>
      <c r="N18" s="3"/>
      <c r="O18" s="9"/>
      <c r="P18" s="3"/>
      <c r="Q18" s="9"/>
      <c r="R18" s="3"/>
      <c r="S18" s="9"/>
      <c r="T18" s="3"/>
      <c r="U18" s="9"/>
      <c r="V18" s="3"/>
      <c r="W18" s="9"/>
      <c r="X18" s="3"/>
      <c r="Y18" s="9"/>
      <c r="Z18" s="3"/>
    </row>
    <row r="19" spans="2:26" ht="15">
      <c r="B19" s="1" t="s">
        <v>9</v>
      </c>
      <c r="C19" s="2"/>
      <c r="D19" s="2" t="s">
        <v>16</v>
      </c>
      <c r="E19" s="2"/>
      <c r="F19" s="3"/>
      <c r="G19" s="1">
        <v>66.37</v>
      </c>
      <c r="H19" s="3" t="s">
        <v>14</v>
      </c>
      <c r="I19" s="12">
        <f>+G19*($D$35+1)</f>
        <v>78.9803</v>
      </c>
      <c r="J19" s="3" t="s">
        <v>14</v>
      </c>
      <c r="K19" s="12">
        <v>67.54</v>
      </c>
      <c r="L19" s="3" t="s">
        <v>14</v>
      </c>
      <c r="M19" s="12">
        <f>+K19*($D$35+1)</f>
        <v>80.3726</v>
      </c>
      <c r="N19" s="3" t="s">
        <v>14</v>
      </c>
      <c r="O19" s="12">
        <v>68.41</v>
      </c>
      <c r="P19" s="3" t="s">
        <v>14</v>
      </c>
      <c r="Q19" s="12">
        <f>+O19*($D$35+1)</f>
        <v>81.4079</v>
      </c>
      <c r="R19" s="3" t="s">
        <v>14</v>
      </c>
      <c r="S19" s="12">
        <v>70.97</v>
      </c>
      <c r="T19" s="3" t="s">
        <v>14</v>
      </c>
      <c r="U19" s="12">
        <f>+S19*($D$35+1)</f>
        <v>84.45429999999999</v>
      </c>
      <c r="V19" s="3" t="s">
        <v>14</v>
      </c>
      <c r="W19" s="12">
        <v>70.97</v>
      </c>
      <c r="X19" s="3" t="s">
        <v>14</v>
      </c>
      <c r="Y19" s="12">
        <f>+W19*($D$35+1)</f>
        <v>84.45429999999999</v>
      </c>
      <c r="Z19" s="3" t="s">
        <v>14</v>
      </c>
    </row>
    <row r="20" spans="2:26" ht="15">
      <c r="B20" s="1" t="s">
        <v>11</v>
      </c>
      <c r="C20" s="2"/>
      <c r="D20" s="2" t="s">
        <v>17</v>
      </c>
      <c r="E20" s="2"/>
      <c r="F20" s="3"/>
      <c r="G20" s="1">
        <v>53.83</v>
      </c>
      <c r="H20" s="3" t="s">
        <v>14</v>
      </c>
      <c r="I20" s="12">
        <f>+G20*($D$35+1)</f>
        <v>64.0577</v>
      </c>
      <c r="J20" s="3" t="s">
        <v>14</v>
      </c>
      <c r="K20" s="12">
        <v>54.77</v>
      </c>
      <c r="L20" s="3" t="s">
        <v>14</v>
      </c>
      <c r="M20" s="12">
        <f>+K20*($D$35+1)</f>
        <v>65.1763</v>
      </c>
      <c r="N20" s="3" t="s">
        <v>14</v>
      </c>
      <c r="O20" s="12">
        <v>55.48</v>
      </c>
      <c r="P20" s="3" t="s">
        <v>14</v>
      </c>
      <c r="Q20" s="12">
        <f>+O20*($D$35+1)</f>
        <v>66.0212</v>
      </c>
      <c r="R20" s="3" t="s">
        <v>14</v>
      </c>
      <c r="S20" s="12">
        <v>57.56</v>
      </c>
      <c r="T20" s="3" t="s">
        <v>14</v>
      </c>
      <c r="U20" s="12">
        <f>+S20*($D$35+1)</f>
        <v>68.4964</v>
      </c>
      <c r="V20" s="3" t="s">
        <v>14</v>
      </c>
      <c r="W20" s="12">
        <v>57.56</v>
      </c>
      <c r="X20" s="3" t="s">
        <v>14</v>
      </c>
      <c r="Y20" s="12">
        <f>+W20*($D$35+1)</f>
        <v>68.4964</v>
      </c>
      <c r="Z20" s="3" t="s">
        <v>14</v>
      </c>
    </row>
    <row r="21" spans="2:26" ht="15">
      <c r="B21" s="1" t="s">
        <v>12</v>
      </c>
      <c r="C21" s="2"/>
      <c r="D21" s="2" t="s">
        <v>20</v>
      </c>
      <c r="E21" s="2"/>
      <c r="F21" s="3"/>
      <c r="G21" s="1">
        <v>49.13</v>
      </c>
      <c r="H21" s="3" t="s">
        <v>14</v>
      </c>
      <c r="I21" s="12">
        <f>+G21*($D$35+1)</f>
        <v>58.4647</v>
      </c>
      <c r="J21" s="3" t="s">
        <v>14</v>
      </c>
      <c r="K21" s="12">
        <v>49.99</v>
      </c>
      <c r="L21" s="3" t="s">
        <v>14</v>
      </c>
      <c r="M21" s="12">
        <f>+K21*($D$35+1)</f>
        <v>59.4881</v>
      </c>
      <c r="N21" s="3" t="s">
        <v>14</v>
      </c>
      <c r="O21" s="12">
        <v>50.63</v>
      </c>
      <c r="P21" s="3" t="s">
        <v>14</v>
      </c>
      <c r="Q21" s="12">
        <f>+O21*($D$35+1)</f>
        <v>60.2497</v>
      </c>
      <c r="R21" s="3" t="s">
        <v>14</v>
      </c>
      <c r="S21" s="12">
        <v>52.53</v>
      </c>
      <c r="T21" s="3" t="s">
        <v>14</v>
      </c>
      <c r="U21" s="12">
        <f>+S21*($D$35+1)</f>
        <v>62.5107</v>
      </c>
      <c r="V21" s="3" t="s">
        <v>14</v>
      </c>
      <c r="W21" s="12">
        <v>52.53</v>
      </c>
      <c r="X21" s="3" t="s">
        <v>14</v>
      </c>
      <c r="Y21" s="12">
        <f>+W21*($D$35+1)</f>
        <v>62.5107</v>
      </c>
      <c r="Z21" s="3" t="s">
        <v>14</v>
      </c>
    </row>
    <row r="22" spans="2:30" ht="15">
      <c r="B22" s="56" t="s">
        <v>31</v>
      </c>
      <c r="C22" s="41"/>
      <c r="D22" s="41"/>
      <c r="E22" s="41"/>
      <c r="F22" s="43"/>
      <c r="G22" s="40">
        <f>60.21+0.31</f>
        <v>60.52</v>
      </c>
      <c r="H22" s="41" t="s">
        <v>10</v>
      </c>
      <c r="I22" s="42">
        <f>+G22*($D$35+1)</f>
        <v>72.0188</v>
      </c>
      <c r="J22" s="43" t="s">
        <v>10</v>
      </c>
      <c r="K22" s="42">
        <f>55.77+0.31+K33</f>
        <v>56.760000000000005</v>
      </c>
      <c r="L22" s="43" t="s">
        <v>10</v>
      </c>
      <c r="M22" s="42">
        <f>+K22*($D$35+1)</f>
        <v>67.5444</v>
      </c>
      <c r="N22" s="43" t="s">
        <v>10</v>
      </c>
      <c r="O22" s="42">
        <f>59.57+0.31+O33</f>
        <v>60.75</v>
      </c>
      <c r="P22" s="43" t="s">
        <v>10</v>
      </c>
      <c r="Q22" s="42">
        <f>+O22*($D$35+1)</f>
        <v>72.29249999999999</v>
      </c>
      <c r="R22" s="43" t="s">
        <v>10</v>
      </c>
      <c r="S22" s="42">
        <f>108.13+0.31+S33</f>
        <v>109.74</v>
      </c>
      <c r="T22" s="43" t="s">
        <v>10</v>
      </c>
      <c r="U22" s="42">
        <f>+S22*($D$35+1)</f>
        <v>130.5906</v>
      </c>
      <c r="V22" s="43" t="s">
        <v>10</v>
      </c>
      <c r="W22" s="42">
        <f>108.13+0.31+W33</f>
        <v>108.44</v>
      </c>
      <c r="X22" s="43" t="s">
        <v>10</v>
      </c>
      <c r="Y22" s="42">
        <f>+W22*($D$35+1)</f>
        <v>129.0436</v>
      </c>
      <c r="Z22" s="43" t="s">
        <v>10</v>
      </c>
      <c r="AA22" s="71">
        <f>+(S22/O22)-1</f>
        <v>0.8064197530864197</v>
      </c>
      <c r="AB22" s="47">
        <f>+S22-O22</f>
        <v>48.989999999999995</v>
      </c>
      <c r="AC22" s="71">
        <f>+(U22/Q22)-1</f>
        <v>0.8064197530864199</v>
      </c>
      <c r="AD22" s="47">
        <f>+U22-Q22</f>
        <v>58.298100000000005</v>
      </c>
    </row>
    <row r="23" spans="2:26" ht="15.75" thickBot="1">
      <c r="B23" s="57" t="s">
        <v>32</v>
      </c>
      <c r="C23" s="58"/>
      <c r="D23" s="58"/>
      <c r="E23" s="58"/>
      <c r="F23" s="59"/>
      <c r="G23" s="60"/>
      <c r="H23" s="58"/>
      <c r="I23" s="60"/>
      <c r="J23" s="59"/>
      <c r="K23" s="60"/>
      <c r="L23" s="59"/>
      <c r="M23" s="60"/>
      <c r="N23" s="59"/>
      <c r="O23" s="60"/>
      <c r="P23" s="59"/>
      <c r="Q23" s="60"/>
      <c r="R23" s="59"/>
      <c r="S23" s="60"/>
      <c r="T23" s="59"/>
      <c r="U23" s="60">
        <f>95+(0.31+S33)*(1+D35)</f>
        <v>96.9159</v>
      </c>
      <c r="V23" s="59" t="s">
        <v>36</v>
      </c>
      <c r="W23" s="60"/>
      <c r="X23" s="59"/>
      <c r="Y23" s="60">
        <f>95+(0.31+W33)*(1+H35)</f>
        <v>95.31</v>
      </c>
      <c r="Z23" s="59" t="s">
        <v>36</v>
      </c>
    </row>
    <row r="24" ht="15" customHeight="1" thickBot="1"/>
    <row r="25" spans="2:26" ht="19.5" thickBot="1">
      <c r="B25" s="16" t="s">
        <v>24</v>
      </c>
      <c r="C25" s="37"/>
      <c r="D25" s="37" t="s">
        <v>21</v>
      </c>
      <c r="E25" s="39" t="s">
        <v>22</v>
      </c>
      <c r="F25" s="54" t="s">
        <v>29</v>
      </c>
      <c r="G25" s="139">
        <v>2020</v>
      </c>
      <c r="H25" s="139"/>
      <c r="I25" s="139"/>
      <c r="J25" s="140"/>
      <c r="K25" s="138">
        <v>2021</v>
      </c>
      <c r="L25" s="139"/>
      <c r="M25" s="139"/>
      <c r="N25" s="140"/>
      <c r="O25" s="138">
        <v>2022</v>
      </c>
      <c r="P25" s="139"/>
      <c r="Q25" s="139"/>
      <c r="R25" s="140"/>
      <c r="S25" s="138">
        <v>2023</v>
      </c>
      <c r="T25" s="139"/>
      <c r="U25" s="139"/>
      <c r="V25" s="140"/>
      <c r="W25" s="73"/>
      <c r="X25" s="73"/>
      <c r="Y25" s="73"/>
      <c r="Z25" s="73"/>
    </row>
    <row r="26" spans="2:26" ht="6.75" customHeight="1">
      <c r="B26" s="1"/>
      <c r="C26" s="2"/>
      <c r="D26" s="2"/>
      <c r="E26" s="2"/>
      <c r="F26" s="3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4"/>
      <c r="S26" s="21"/>
      <c r="T26" s="22"/>
      <c r="U26" s="22"/>
      <c r="V26" s="24"/>
      <c r="W26" s="22"/>
      <c r="X26" s="22"/>
      <c r="Y26" s="22"/>
      <c r="Z26" s="22"/>
    </row>
    <row r="27" spans="2:26" ht="15">
      <c r="B27" s="1" t="s">
        <v>9</v>
      </c>
      <c r="C27" s="2"/>
      <c r="D27" s="2" t="s">
        <v>16</v>
      </c>
      <c r="E27" s="2"/>
      <c r="F27" s="3"/>
      <c r="G27" s="22"/>
      <c r="H27" s="22"/>
      <c r="I27" s="22"/>
      <c r="J27" s="22"/>
      <c r="K27" s="38">
        <f>+K19/G19-1</f>
        <v>0.01762844658731355</v>
      </c>
      <c r="L27" s="22"/>
      <c r="M27" s="22"/>
      <c r="N27" s="22"/>
      <c r="O27" s="38">
        <f>+O19/G19-1</f>
        <v>0.030736778665059417</v>
      </c>
      <c r="P27" s="44">
        <f>+O19/K19-1</f>
        <v>0.01288125555226527</v>
      </c>
      <c r="Q27" s="51"/>
      <c r="R27" s="24"/>
      <c r="S27" s="53">
        <f>+S19/G19-1</f>
        <v>0.06930842248003599</v>
      </c>
      <c r="T27" s="44">
        <f>+S19/K19-1</f>
        <v>0.05078472016582758</v>
      </c>
      <c r="U27" s="51">
        <f>+S19/O19-1</f>
        <v>0.03742142961555328</v>
      </c>
      <c r="V27" s="24"/>
      <c r="W27" s="22"/>
      <c r="X27" s="22"/>
      <c r="Y27" s="22"/>
      <c r="Z27" s="22"/>
    </row>
    <row r="28" spans="2:26" ht="15">
      <c r="B28" s="1" t="s">
        <v>11</v>
      </c>
      <c r="C28" s="2"/>
      <c r="D28" s="2" t="s">
        <v>17</v>
      </c>
      <c r="E28" s="2"/>
      <c r="F28" s="3"/>
      <c r="G28" s="22"/>
      <c r="H28" s="22"/>
      <c r="I28" s="22"/>
      <c r="J28" s="22"/>
      <c r="K28" s="38">
        <f>+K20/G20-1</f>
        <v>0.017462381571614394</v>
      </c>
      <c r="L28" s="22"/>
      <c r="M28" s="22"/>
      <c r="N28" s="22"/>
      <c r="O28" s="38">
        <f>+O20/G20-1</f>
        <v>0.030652052758684656</v>
      </c>
      <c r="P28" s="44">
        <f>+O20/K20-1</f>
        <v>0.01296330107723187</v>
      </c>
      <c r="Q28" s="51"/>
      <c r="R28" s="24"/>
      <c r="S28" s="53">
        <f>+S20/G20-1</f>
        <v>0.06929221623629944</v>
      </c>
      <c r="T28" s="44">
        <f>+S20/K20-1</f>
        <v>0.05094029578236259</v>
      </c>
      <c r="U28" s="51">
        <f>+S20/O20-1</f>
        <v>0.03749098774333093</v>
      </c>
      <c r="V28" s="24"/>
      <c r="W28" s="22"/>
      <c r="X28" s="22"/>
      <c r="Y28" s="22"/>
      <c r="Z28" s="22"/>
    </row>
    <row r="29" spans="2:26" ht="15">
      <c r="B29" s="1" t="s">
        <v>12</v>
      </c>
      <c r="C29" s="2"/>
      <c r="D29" s="2" t="s">
        <v>20</v>
      </c>
      <c r="E29" s="2"/>
      <c r="F29" s="3"/>
      <c r="G29" s="22"/>
      <c r="H29" s="22"/>
      <c r="I29" s="22"/>
      <c r="J29" s="22"/>
      <c r="K29" s="38">
        <f>+K21/G21-1</f>
        <v>0.01750457968654584</v>
      </c>
      <c r="L29" s="22"/>
      <c r="M29" s="22"/>
      <c r="N29" s="22"/>
      <c r="O29" s="38">
        <f>+O21/G21-1</f>
        <v>0.030531243639324135</v>
      </c>
      <c r="P29" s="44">
        <f>+O21/K21-1</f>
        <v>0.01280256051210249</v>
      </c>
      <c r="Q29" s="51"/>
      <c r="R29" s="24"/>
      <c r="S29" s="53">
        <f>+S21/G21-1</f>
        <v>0.0692041522491349</v>
      </c>
      <c r="T29" s="44">
        <f>+S21/K21-1</f>
        <v>0.0508101620324064</v>
      </c>
      <c r="U29" s="51">
        <f>+S21/O21-1</f>
        <v>0.03752715781157412</v>
      </c>
      <c r="V29" s="24"/>
      <c r="W29" s="22"/>
      <c r="X29" s="22"/>
      <c r="Y29" s="22"/>
      <c r="Z29" s="22"/>
    </row>
    <row r="30" spans="2:26" ht="15">
      <c r="B30" s="52" t="s">
        <v>25</v>
      </c>
      <c r="C30" s="2"/>
      <c r="D30" s="2"/>
      <c r="E30" s="2"/>
      <c r="F30" s="3"/>
      <c r="G30" s="22"/>
      <c r="H30" s="22"/>
      <c r="I30" s="22"/>
      <c r="J30" s="22"/>
      <c r="K30" s="38">
        <f>+K22/G22-1</f>
        <v>-0.06212822207534696</v>
      </c>
      <c r="L30" s="22"/>
      <c r="M30" s="22"/>
      <c r="N30" s="22"/>
      <c r="O30" s="38">
        <f>+O22/G22-1</f>
        <v>0.003800396563119479</v>
      </c>
      <c r="P30" s="44">
        <f>+O22/K22-1</f>
        <v>0.07029598308668072</v>
      </c>
      <c r="Q30" s="51"/>
      <c r="R30" s="24"/>
      <c r="S30" s="53">
        <f>+S22/G22-1</f>
        <v>0.8132848645076005</v>
      </c>
      <c r="T30" s="44">
        <f>+S22/K22-1</f>
        <v>0.9334038054968286</v>
      </c>
      <c r="U30" s="51">
        <f>+S22/O22-1</f>
        <v>0.8064197530864197</v>
      </c>
      <c r="V30" s="24"/>
      <c r="W30" s="22"/>
      <c r="X30" s="22"/>
      <c r="Y30" s="22"/>
      <c r="Z30" s="22"/>
    </row>
    <row r="31" spans="2:26" ht="5.25" customHeight="1" thickBot="1">
      <c r="B31" s="4"/>
      <c r="C31" s="5"/>
      <c r="D31" s="5"/>
      <c r="E31" s="5"/>
      <c r="F31" s="6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4"/>
      <c r="S31" s="32"/>
      <c r="T31" s="33"/>
      <c r="U31" s="33"/>
      <c r="V31" s="34"/>
      <c r="W31" s="22"/>
      <c r="X31" s="22"/>
      <c r="Y31" s="22"/>
      <c r="Z31" s="22"/>
    </row>
    <row r="33" spans="2:26" ht="18">
      <c r="B33" s="45" t="s">
        <v>23</v>
      </c>
      <c r="K33" s="45">
        <v>0.68</v>
      </c>
      <c r="L33" s="45" t="s">
        <v>14</v>
      </c>
      <c r="M33" s="46">
        <f>+K33*($D$35+1)</f>
        <v>0.8092</v>
      </c>
      <c r="N33" s="45" t="s">
        <v>14</v>
      </c>
      <c r="O33" s="45">
        <v>0.87</v>
      </c>
      <c r="P33" s="45" t="s">
        <v>14</v>
      </c>
      <c r="Q33" s="46">
        <f>+O33*($D$35+1)</f>
        <v>1.0352999999999999</v>
      </c>
      <c r="R33" s="45" t="s">
        <v>14</v>
      </c>
      <c r="S33" s="45">
        <f>0.99+0.31</f>
        <v>1.3</v>
      </c>
      <c r="T33" s="45" t="s">
        <v>14</v>
      </c>
      <c r="U33" s="46">
        <f>+S33*($D$35+1)</f>
        <v>1.547</v>
      </c>
      <c r="V33" s="45" t="s">
        <v>14</v>
      </c>
      <c r="W33" s="45"/>
      <c r="X33" s="45"/>
      <c r="Y33" s="45"/>
      <c r="Z33" s="45"/>
    </row>
    <row r="34" spans="11:19" ht="15">
      <c r="K34" s="50" t="s">
        <v>28</v>
      </c>
      <c r="O34" s="50" t="s">
        <v>28</v>
      </c>
      <c r="S34" s="50" t="s">
        <v>27</v>
      </c>
    </row>
    <row r="35" spans="2:4" ht="15">
      <c r="B35" t="s">
        <v>30</v>
      </c>
      <c r="C35" s="36"/>
      <c r="D35">
        <v>0.19</v>
      </c>
    </row>
    <row r="36" ht="15">
      <c r="D36" s="61"/>
    </row>
    <row r="37" ht="15.75" thickBot="1"/>
    <row r="38" spans="2:14" ht="15.75">
      <c r="B38" s="101" t="s">
        <v>44</v>
      </c>
      <c r="C38" s="10"/>
      <c r="D38" s="134"/>
      <c r="E38" s="134"/>
      <c r="F38" s="102"/>
      <c r="G38" s="134">
        <v>2023</v>
      </c>
      <c r="H38" s="134"/>
      <c r="I38" s="134"/>
      <c r="J38" s="134"/>
      <c r="K38" s="132">
        <v>2024</v>
      </c>
      <c r="L38" s="133"/>
      <c r="M38" s="86"/>
      <c r="N38" s="86"/>
    </row>
    <row r="39" spans="2:14" ht="16.5" customHeight="1">
      <c r="B39" s="95"/>
      <c r="C39" s="22"/>
      <c r="D39" s="48"/>
      <c r="E39" s="48"/>
      <c r="F39" s="48"/>
      <c r="G39" s="135" t="s">
        <v>35</v>
      </c>
      <c r="H39" s="135"/>
      <c r="I39" s="135" t="s">
        <v>8</v>
      </c>
      <c r="J39" s="135"/>
      <c r="K39" s="90" t="s">
        <v>35</v>
      </c>
      <c r="L39" s="96" t="s">
        <v>8</v>
      </c>
      <c r="M39" s="88"/>
      <c r="N39" s="88"/>
    </row>
    <row r="40" spans="2:14" ht="6" customHeight="1">
      <c r="B40" s="95"/>
      <c r="C40" s="22"/>
      <c r="D40" s="48"/>
      <c r="E40" s="48"/>
      <c r="F40" s="48"/>
      <c r="G40" s="105"/>
      <c r="H40" s="105"/>
      <c r="I40" s="105"/>
      <c r="J40" s="105"/>
      <c r="K40" s="91"/>
      <c r="L40" s="97"/>
      <c r="M40" s="72"/>
      <c r="N40" s="72"/>
    </row>
    <row r="41" spans="2:12" ht="15">
      <c r="B41" s="98" t="s">
        <v>45</v>
      </c>
      <c r="C41" s="22"/>
      <c r="D41" s="22"/>
      <c r="E41" s="22"/>
      <c r="F41" s="93">
        <f>+G41</f>
        <v>1520</v>
      </c>
      <c r="G41" s="106">
        <v>1520</v>
      </c>
      <c r="H41" s="106" t="s">
        <v>6</v>
      </c>
      <c r="I41" s="107">
        <f>+G41*(1+$D$51)</f>
        <v>1808.8</v>
      </c>
      <c r="J41" s="108" t="s">
        <v>6</v>
      </c>
      <c r="K41" s="109">
        <v>250</v>
      </c>
      <c r="L41" s="113">
        <f>+K41*(1+$D$51)</f>
        <v>297.5</v>
      </c>
    </row>
    <row r="42" spans="2:12" ht="15">
      <c r="B42" s="98" t="s">
        <v>46</v>
      </c>
      <c r="C42" s="22"/>
      <c r="D42" s="22"/>
      <c r="E42" s="22"/>
      <c r="F42" s="93">
        <f>+G41+(Kundendaten!H8-10)*G42</f>
        <v>1520</v>
      </c>
      <c r="G42" s="106">
        <v>152</v>
      </c>
      <c r="H42" s="106" t="s">
        <v>5</v>
      </c>
      <c r="I42" s="107">
        <f>+G42*(1+$D$51)</f>
        <v>180.88</v>
      </c>
      <c r="J42" s="106" t="s">
        <v>5</v>
      </c>
      <c r="K42" s="90"/>
      <c r="L42" s="96"/>
    </row>
    <row r="43" spans="2:14" ht="15">
      <c r="B43" s="98" t="s">
        <v>47</v>
      </c>
      <c r="C43" s="22"/>
      <c r="D43" s="93"/>
      <c r="E43" s="22"/>
      <c r="F43" s="93"/>
      <c r="G43" s="131" t="s">
        <v>50</v>
      </c>
      <c r="H43" s="131"/>
      <c r="I43" s="131"/>
      <c r="J43" s="131"/>
      <c r="K43" s="92"/>
      <c r="L43" s="99"/>
      <c r="M43" s="89"/>
      <c r="N43" s="89"/>
    </row>
    <row r="44" spans="2:14" ht="6" customHeight="1">
      <c r="B44" s="98"/>
      <c r="C44" s="22"/>
      <c r="D44" s="93"/>
      <c r="E44" s="22"/>
      <c r="F44" s="93"/>
      <c r="G44" s="104"/>
      <c r="H44" s="104"/>
      <c r="I44" s="104"/>
      <c r="J44" s="104"/>
      <c r="K44" s="92"/>
      <c r="L44" s="99"/>
      <c r="M44" s="87"/>
      <c r="N44" s="87"/>
    </row>
    <row r="45" spans="2:12" ht="15">
      <c r="B45" s="98" t="s">
        <v>48</v>
      </c>
      <c r="C45" s="22"/>
      <c r="D45" s="22"/>
      <c r="E45" s="22"/>
      <c r="F45" s="93">
        <f>+G45</f>
        <v>1971.54</v>
      </c>
      <c r="G45" s="106">
        <v>1971.54</v>
      </c>
      <c r="H45" s="106" t="s">
        <v>6</v>
      </c>
      <c r="I45" s="107">
        <f>+G45*(1+$D$51)</f>
        <v>2346.1326</v>
      </c>
      <c r="J45" s="106" t="s">
        <v>6</v>
      </c>
      <c r="K45" s="90"/>
      <c r="L45" s="96"/>
    </row>
    <row r="46" spans="2:12" ht="15">
      <c r="B46" s="98" t="s">
        <v>51</v>
      </c>
      <c r="C46" s="22"/>
      <c r="D46" s="22"/>
      <c r="E46" s="22"/>
      <c r="F46" s="93">
        <f>+G45+(Kundendaten!H8-25)*G46</f>
        <v>-308.46000000000004</v>
      </c>
      <c r="G46" s="106">
        <v>152</v>
      </c>
      <c r="H46" s="106" t="s">
        <v>5</v>
      </c>
      <c r="I46" s="107">
        <f>+G46*(1+$D$51)</f>
        <v>180.88</v>
      </c>
      <c r="J46" s="106" t="s">
        <v>5</v>
      </c>
      <c r="K46" s="90"/>
      <c r="L46" s="96"/>
    </row>
    <row r="47" spans="2:12" ht="6.75" customHeight="1">
      <c r="B47" s="98"/>
      <c r="C47" s="22"/>
      <c r="D47" s="22"/>
      <c r="E47" s="22"/>
      <c r="F47" s="93"/>
      <c r="G47" s="106"/>
      <c r="H47" s="106"/>
      <c r="I47" s="106"/>
      <c r="J47" s="106"/>
      <c r="K47" s="90"/>
      <c r="L47" s="96"/>
    </row>
    <row r="48" spans="2:12" ht="15">
      <c r="B48" s="98" t="s">
        <v>52</v>
      </c>
      <c r="C48" s="22"/>
      <c r="D48" s="22"/>
      <c r="E48" s="22"/>
      <c r="F48" s="93"/>
      <c r="G48" s="106"/>
      <c r="H48" s="106"/>
      <c r="I48" s="106"/>
      <c r="J48" s="106"/>
      <c r="K48" s="109">
        <v>18000</v>
      </c>
      <c r="L48" s="110">
        <f>+K48*(1+$D$51)</f>
        <v>21420</v>
      </c>
    </row>
    <row r="49" spans="2:12" ht="15">
      <c r="B49" s="98" t="s">
        <v>53</v>
      </c>
      <c r="C49" s="22"/>
      <c r="D49" s="22"/>
      <c r="E49" s="22"/>
      <c r="F49" s="93"/>
      <c r="G49" s="106"/>
      <c r="H49" s="106"/>
      <c r="I49" s="106"/>
      <c r="J49" s="106"/>
      <c r="K49" s="111">
        <v>22500</v>
      </c>
      <c r="L49" s="112">
        <f>+K49*(1+$D$51)</f>
        <v>26775</v>
      </c>
    </row>
    <row r="50" spans="2:12" ht="15">
      <c r="B50" s="98"/>
      <c r="C50" s="22"/>
      <c r="D50" s="22"/>
      <c r="E50" s="22"/>
      <c r="F50" s="22"/>
      <c r="G50" s="22"/>
      <c r="H50" s="22"/>
      <c r="I50" s="22"/>
      <c r="J50" s="22"/>
      <c r="K50" s="94"/>
      <c r="L50" s="100"/>
    </row>
    <row r="51" spans="2:12" ht="15">
      <c r="B51" s="98" t="s">
        <v>49</v>
      </c>
      <c r="C51" s="22"/>
      <c r="D51" s="22">
        <v>0.19</v>
      </c>
      <c r="E51" s="22"/>
      <c r="F51" s="22"/>
      <c r="G51" s="22"/>
      <c r="H51" s="22"/>
      <c r="I51" s="22"/>
      <c r="J51" s="22"/>
      <c r="K51" s="22"/>
      <c r="L51" s="24"/>
    </row>
    <row r="52" spans="2:12" ht="15.75" thickBot="1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4"/>
    </row>
  </sheetData>
  <sheetProtection password="AC3D" sheet="1" selectLockedCells="1" selectUnlockedCells="1"/>
  <mergeCells count="29">
    <mergeCell ref="G15:J15"/>
    <mergeCell ref="K15:N15"/>
    <mergeCell ref="O15:R15"/>
    <mergeCell ref="G25:J25"/>
    <mergeCell ref="K25:N25"/>
    <mergeCell ref="O25:R25"/>
    <mergeCell ref="S25:V25"/>
    <mergeCell ref="G17:H17"/>
    <mergeCell ref="I17:J17"/>
    <mergeCell ref="K17:L17"/>
    <mergeCell ref="M17:N17"/>
    <mergeCell ref="O17:P17"/>
    <mergeCell ref="Q17:R17"/>
    <mergeCell ref="K2:L2"/>
    <mergeCell ref="W15:Z15"/>
    <mergeCell ref="W17:X17"/>
    <mergeCell ref="Y17:Z17"/>
    <mergeCell ref="H2:I2"/>
    <mergeCell ref="S17:T17"/>
    <mergeCell ref="U17:V17"/>
    <mergeCell ref="S15:V15"/>
    <mergeCell ref="G4:H4"/>
    <mergeCell ref="I4:J4"/>
    <mergeCell ref="G43:J43"/>
    <mergeCell ref="K38:L38"/>
    <mergeCell ref="D38:E38"/>
    <mergeCell ref="G38:J38"/>
    <mergeCell ref="G39:H39"/>
    <mergeCell ref="I39:J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QV</dc:creator>
  <cp:keywords/>
  <dc:description/>
  <cp:lastModifiedBy>Ulrich Priebe</cp:lastModifiedBy>
  <dcterms:created xsi:type="dcterms:W3CDTF">2020-12-09T13:24:11Z</dcterms:created>
  <dcterms:modified xsi:type="dcterms:W3CDTF">2024-02-09T10:51:22Z</dcterms:modified>
  <cp:category/>
  <cp:version/>
  <cp:contentType/>
  <cp:contentStatus/>
</cp:coreProperties>
</file>