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0" windowHeight="11640" activeTab="0"/>
  </bookViews>
  <sheets>
    <sheet name="Kundendaten bis 20 kW" sheetId="1" r:id="rId1"/>
    <sheet name="Kundendaten 20 - 50 kW" sheetId="2" r:id="rId2"/>
    <sheet name="Kundendaten 50 -100 kW" sheetId="3" r:id="rId3"/>
    <sheet name="Kundendaten 100 - 500 kW " sheetId="4" r:id="rId4"/>
    <sheet name="Tarifpreise bis 2022" sheetId="5" r:id="rId5"/>
    <sheet name="Tarifpreise ab 2023" sheetId="6" r:id="rId6"/>
    <sheet name="Tarifpreise Sifi ab 2023" sheetId="7" r:id="rId7"/>
  </sheets>
  <definedNames/>
  <calcPr fullCalcOnLoad="1"/>
</workbook>
</file>

<file path=xl/comments1.xml><?xml version="1.0" encoding="utf-8"?>
<comments xmlns="http://schemas.openxmlformats.org/spreadsheetml/2006/main">
  <authors>
    <author>QV</author>
  </authors>
  <commentList>
    <comment ref="I13" authorId="0">
      <text>
        <r>
          <rPr>
            <sz val="14"/>
            <rFont val="Calibri"/>
            <family val="2"/>
          </rPr>
          <t xml:space="preserve">Den </t>
        </r>
        <r>
          <rPr>
            <b/>
            <sz val="14"/>
            <rFont val="Calibri"/>
            <family val="2"/>
          </rPr>
          <t>Anschlusswert</t>
        </r>
        <r>
          <rPr>
            <sz val="14"/>
            <rFont val="Calibri"/>
            <family val="2"/>
          </rPr>
          <t xml:space="preserve"> finden Sie explizit auf Seite 3 der </t>
        </r>
        <r>
          <rPr>
            <b/>
            <sz val="14"/>
            <rFont val="Calibri"/>
            <family val="2"/>
          </rPr>
          <t xml:space="preserve">Jahresrechnung 2018 </t>
        </r>
        <r>
          <rPr>
            <sz val="14"/>
            <rFont val="Calibri"/>
            <family val="2"/>
          </rPr>
          <t>in der Zeile mit dem Grundpreis. 
In späteren Rechnungen muss man die kW-Zahl im Grundpreis heranziehen.</t>
        </r>
      </text>
    </comment>
    <comment ref="I14" authorId="0">
      <text>
        <r>
          <rPr>
            <sz val="14"/>
            <color indexed="10"/>
            <rFont val="Calibri"/>
            <family val="2"/>
          </rPr>
          <t>Sollte keine wesentliche Veränderung Ihres Wärmebedarfes absehbar sein, können Sie mit diesen Verbrauchszahlen auch in Zukunft rechnen.</t>
        </r>
      </text>
    </comment>
    <comment ref="I25" authorId="0">
      <text>
        <r>
          <rPr>
            <sz val="14"/>
            <rFont val="Calibri"/>
            <family val="2"/>
          </rPr>
          <t xml:space="preserve">Ist der Differenzbetrag positiv - also im "Grünen Bereich" - ist der Tarif </t>
        </r>
        <r>
          <rPr>
            <b/>
            <sz val="14"/>
            <rFont val="Calibri"/>
            <family val="2"/>
          </rPr>
          <t>Garant</t>
        </r>
        <r>
          <rPr>
            <sz val="14"/>
            <rFont val="Calibri"/>
            <family val="2"/>
          </rPr>
          <t xml:space="preserve"> für Sie günstiger.
Dann sollten Sie überlegen, in den Tarif Garant zu wechseln.</t>
        </r>
      </text>
    </comment>
  </commentList>
</comments>
</file>

<file path=xl/comments2.xml><?xml version="1.0" encoding="utf-8"?>
<comments xmlns="http://schemas.openxmlformats.org/spreadsheetml/2006/main">
  <authors>
    <author>QV</author>
    <author>Ulrich Priebe</author>
  </authors>
  <commentList>
    <comment ref="I13" authorId="0">
      <text>
        <r>
          <rPr>
            <sz val="14"/>
            <rFont val="Calibri"/>
            <family val="2"/>
          </rPr>
          <t xml:space="preserve">Den </t>
        </r>
        <r>
          <rPr>
            <b/>
            <sz val="14"/>
            <rFont val="Calibri"/>
            <family val="2"/>
          </rPr>
          <t>Anschlusswert</t>
        </r>
        <r>
          <rPr>
            <sz val="14"/>
            <rFont val="Calibri"/>
            <family val="2"/>
          </rPr>
          <t xml:space="preserve"> finden Sie auf Seite 3 der </t>
        </r>
        <r>
          <rPr>
            <b/>
            <sz val="14"/>
            <rFont val="Calibri"/>
            <family val="2"/>
          </rPr>
          <t>Jahresrechnungen 2018</t>
        </r>
        <r>
          <rPr>
            <sz val="14"/>
            <rFont val="Calibri"/>
            <family val="2"/>
          </rPr>
          <t xml:space="preserve"> in der Zeile mit dem Grundpreis. 
Bei Anlagen mit Anschlusswerten größer 20 kW müssen die kW-Werte summiert werden, um den Anschlusswert zu erhalten. </t>
        </r>
      </text>
    </comment>
    <comment ref="I14" authorId="1">
      <text>
        <r>
          <rPr>
            <sz val="14"/>
            <color indexed="10"/>
            <rFont val="Calibri"/>
            <family val="2"/>
          </rPr>
          <t xml:space="preserve">Sollte keine wesentliche Veränderung Ihres Wärmebedarfes absehbar sein, können Sie mit diesen Verbrauchszahlen auch in Zukunft rechen. </t>
        </r>
      </text>
    </comment>
    <comment ref="I25" authorId="0">
      <text>
        <r>
          <rPr>
            <sz val="14"/>
            <rFont val="Calibri"/>
            <family val="2"/>
          </rPr>
          <t>Ist der Differenzbetrag positiv - also im "Grünen Bereich" - ist der Tarif Garant für Sie günstiger. 
Dann sollten Sie überlegen, in den Tarif Garant zu wechseln.</t>
        </r>
      </text>
    </comment>
  </commentList>
</comments>
</file>

<file path=xl/comments3.xml><?xml version="1.0" encoding="utf-8"?>
<comments xmlns="http://schemas.openxmlformats.org/spreadsheetml/2006/main">
  <authors>
    <author>QV</author>
  </authors>
  <commentList>
    <comment ref="I14" authorId="0">
      <text>
        <r>
          <rPr>
            <sz val="14"/>
            <color indexed="10"/>
            <rFont val="Calibri"/>
            <family val="2"/>
          </rPr>
          <t>Sollte keine wesentliche Veränderung Ihres Wärmebedarfes absehbar sein, können Sie mit diesen Verbrauchszahlen auch in Zukunft rechen.</t>
        </r>
      </text>
    </comment>
    <comment ref="I13" authorId="0">
      <text>
        <r>
          <rPr>
            <sz val="14"/>
            <rFont val="Calibri"/>
            <family val="2"/>
          </rPr>
          <t xml:space="preserve">Den </t>
        </r>
        <r>
          <rPr>
            <b/>
            <sz val="14"/>
            <rFont val="Calibri"/>
            <family val="2"/>
          </rPr>
          <t>Anschlusswert</t>
        </r>
        <r>
          <rPr>
            <sz val="14"/>
            <rFont val="Calibri"/>
            <family val="2"/>
          </rPr>
          <t xml:space="preserve"> finden Sie auf Seite 3 der </t>
        </r>
        <r>
          <rPr>
            <b/>
            <sz val="14"/>
            <rFont val="Calibri"/>
            <family val="2"/>
          </rPr>
          <t>Jahresrechnungen 2018</t>
        </r>
        <r>
          <rPr>
            <sz val="14"/>
            <rFont val="Calibri"/>
            <family val="2"/>
          </rPr>
          <t xml:space="preserve"> in der Zeile mit dem Grundpreis. 
Bei Anlagen mit Anschlusswerten größer 20 kW müssen die kW-Werte summiert werden, um den Anschlusswert zu erhalten. </t>
        </r>
      </text>
    </comment>
    <comment ref="I25" authorId="0">
      <text>
        <r>
          <rPr>
            <sz val="14"/>
            <rFont val="Calibri"/>
            <family val="2"/>
          </rPr>
          <t>Ist der Differenzbetrag positiv - also im "Grünen Bereich" - ist der Tarif Garant für Sie günstiger. 
Dann sollten Sie überlegen, in den Tarif Garant zu wechseln.</t>
        </r>
      </text>
    </comment>
  </commentList>
</comments>
</file>

<file path=xl/comments4.xml><?xml version="1.0" encoding="utf-8"?>
<comments xmlns="http://schemas.openxmlformats.org/spreadsheetml/2006/main">
  <authors>
    <author>QV</author>
  </authors>
  <commentList>
    <comment ref="I13" authorId="0">
      <text>
        <r>
          <rPr>
            <sz val="14"/>
            <rFont val="Calibri"/>
            <family val="2"/>
          </rPr>
          <t xml:space="preserve">Den </t>
        </r>
        <r>
          <rPr>
            <b/>
            <sz val="14"/>
            <rFont val="Calibri"/>
            <family val="2"/>
          </rPr>
          <t>Anschlusswert</t>
        </r>
        <r>
          <rPr>
            <sz val="14"/>
            <rFont val="Calibri"/>
            <family val="2"/>
          </rPr>
          <t xml:space="preserve"> finden Sie auf Seite 3 der </t>
        </r>
        <r>
          <rPr>
            <b/>
            <sz val="14"/>
            <rFont val="Calibri"/>
            <family val="2"/>
          </rPr>
          <t>Jahresrechnungen 2018</t>
        </r>
        <r>
          <rPr>
            <sz val="14"/>
            <rFont val="Calibri"/>
            <family val="2"/>
          </rPr>
          <t xml:space="preserve"> in der Zeile mit dem Grundpreis. 
Bei Anlagen mit Anschlusswerten größer 20 kW müssen die kW-Werte summiert werden, um den Anschlusswert zu erhalten. </t>
        </r>
      </text>
    </comment>
    <comment ref="I14" authorId="0">
      <text>
        <r>
          <rPr>
            <sz val="14"/>
            <color indexed="10"/>
            <rFont val="Calibri"/>
            <family val="2"/>
          </rPr>
          <t>Sollte keine wesentliche Veränderung Ihres Wärmebedarfes absehbar sein, können Sie mit diesen Verbrauchszahlen auch in Zukunft rechen.</t>
        </r>
      </text>
    </comment>
    <comment ref="I25" authorId="0">
      <text>
        <r>
          <rPr>
            <sz val="14"/>
            <rFont val="Calibri"/>
            <family val="2"/>
          </rPr>
          <t xml:space="preserve">Ist der Differenzbetrag positiv - also im "Grünen Bereich" - ist der Tarif </t>
        </r>
        <r>
          <rPr>
            <b/>
            <sz val="14"/>
            <rFont val="Calibri"/>
            <family val="2"/>
          </rPr>
          <t>Garant</t>
        </r>
        <r>
          <rPr>
            <sz val="14"/>
            <rFont val="Calibri"/>
            <family val="2"/>
          </rPr>
          <t xml:space="preserve"> für Sie günstiger.
Dann sollten Sie überlegen, in den Tarif Garant zu wechseln.</t>
        </r>
      </text>
    </comment>
  </commentList>
</comments>
</file>

<file path=xl/sharedStrings.xml><?xml version="1.0" encoding="utf-8"?>
<sst xmlns="http://schemas.openxmlformats.org/spreadsheetml/2006/main" count="424" uniqueCount="76">
  <si>
    <t>Welcher Tarif ist für mich günstiger?</t>
  </si>
  <si>
    <t xml:space="preserve">Anschlusswert: </t>
  </si>
  <si>
    <t>kW</t>
  </si>
  <si>
    <t>MWh</t>
  </si>
  <si>
    <t>Komfort</t>
  </si>
  <si>
    <t>Garant</t>
  </si>
  <si>
    <t>Tarif</t>
  </si>
  <si>
    <t xml:space="preserve">Jahresverbrauchskosten </t>
  </si>
  <si>
    <t>Differenz</t>
  </si>
  <si>
    <t>€/kW</t>
  </si>
  <si>
    <t>Zählergebühr bis 20 kW Anschlussleistung:</t>
  </si>
  <si>
    <t>Zählergebühr über 20 kW Anschlussleistung:</t>
  </si>
  <si>
    <t>€</t>
  </si>
  <si>
    <t xml:space="preserve">Netto </t>
  </si>
  <si>
    <t>Brutto</t>
  </si>
  <si>
    <t xml:space="preserve">Grundpreise Zone 1 </t>
  </si>
  <si>
    <t>€/MWh</t>
  </si>
  <si>
    <t>Grundpreise Zone 2</t>
  </si>
  <si>
    <t>Grundpreise Zone 3</t>
  </si>
  <si>
    <t>Vollbenutzungsstunden</t>
  </si>
  <si>
    <t>Anschlusswert bis 20 kW</t>
  </si>
  <si>
    <t>€/kW/a</t>
  </si>
  <si>
    <t>Ihren  Anschlusswert und Ihren Jahresverbrauch bitte hier eingeben:</t>
  </si>
  <si>
    <t>Anschlusswert 20 - 50 kW</t>
  </si>
  <si>
    <t>0-50 kW</t>
  </si>
  <si>
    <t>50-100 kW</t>
  </si>
  <si>
    <t>Preise für Tarif Komfort - bisheriger Tarif</t>
  </si>
  <si>
    <t>Preise für Tarif Garant - neuer Tarif nach Mediation</t>
  </si>
  <si>
    <t>Anschlusswert 50 - 100 kW</t>
  </si>
  <si>
    <r>
      <t xml:space="preserve">Um eine Entscheidung treffen zu können, müssen der </t>
    </r>
    <r>
      <rPr>
        <b/>
        <sz val="14"/>
        <color indexed="8"/>
        <rFont val="Calibri"/>
        <family val="2"/>
      </rPr>
      <t xml:space="preserve">Anschlusswert </t>
    </r>
    <r>
      <rPr>
        <sz val="14"/>
        <color indexed="8"/>
        <rFont val="Calibri"/>
        <family val="2"/>
      </rPr>
      <t xml:space="preserve">und der </t>
    </r>
    <r>
      <rPr>
        <b/>
        <sz val="14"/>
        <color indexed="8"/>
        <rFont val="Calibri"/>
        <family val="2"/>
      </rPr>
      <t>Jahresverbrauch</t>
    </r>
    <r>
      <rPr>
        <sz val="14"/>
        <color indexed="8"/>
        <rFont val="Calibri"/>
        <family val="2"/>
      </rPr>
      <t xml:space="preserve"> bekannt sein.</t>
    </r>
  </si>
  <si>
    <t>Zur Wahl stehen zwei Tarife, die sich je nach Verbrauch und Anschlusswert in den Jahreskosten unterscheiden.</t>
  </si>
  <si>
    <t>Anschlusswert 100 - 500 kW</t>
  </si>
  <si>
    <t>100-500 kW</t>
  </si>
  <si>
    <t>Basis 2020</t>
  </si>
  <si>
    <t>Basis 2021</t>
  </si>
  <si>
    <r>
      <t>CO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-Preis</t>
    </r>
  </si>
  <si>
    <t>Arbeitspreis inkl. Konzessionsabgabe (aber ohne CO2-Preis)</t>
  </si>
  <si>
    <t>Preiserhöhung Komfort</t>
  </si>
  <si>
    <t>Arbeitspreis inkl. Konzessionsabgabe und CO2-Preis</t>
  </si>
  <si>
    <t>mit CO2</t>
  </si>
  <si>
    <t>Jahresverbrauch von 2021 oder hochgerechnet für 2022</t>
  </si>
  <si>
    <t>geplant</t>
  </si>
  <si>
    <t>aktuell</t>
  </si>
  <si>
    <t>Cent/kWh</t>
  </si>
  <si>
    <t>Preis pro kWh</t>
  </si>
  <si>
    <t>9,5 Cent/kWh</t>
  </si>
  <si>
    <t xml:space="preserve">für 80% des Verbrauches </t>
  </si>
  <si>
    <t>Wärmepreisbremse</t>
  </si>
  <si>
    <t xml:space="preserve">brutto </t>
  </si>
  <si>
    <t>Basis 2022</t>
  </si>
  <si>
    <t>Ohne Preisbremse 2023</t>
  </si>
  <si>
    <t>Mit Preisbremse 2023</t>
  </si>
  <si>
    <t xml:space="preserve">Die Bundesregierung hat eine Preisbremse für Wärme und einen reduzierten MwSt.-Satz von 7 % beschlossen. </t>
  </si>
  <si>
    <t xml:space="preserve"> bis 2022</t>
  </si>
  <si>
    <t>Mehrwertsteuersatz 2023</t>
  </si>
  <si>
    <t>Mehrwertsteuersatz bis 2022</t>
  </si>
  <si>
    <t>Monatliche Abschläge</t>
  </si>
  <si>
    <t>Arbeitspreis inkl. Konzessionsabgabe und CO2-Preis für 20 % des Verbrauches</t>
  </si>
  <si>
    <t>Arbeitspreis inkl. Konzessionsabgabe und CO2-Preis für 80 % des Verbrauches</t>
  </si>
  <si>
    <t>MwSt. %</t>
  </si>
  <si>
    <t>Für 2023 ergibt sich ein inflationärer Anstieg im Tarif Komfort, der durch die Preisbremse der Bundesregierung teilweise abgefangen wird.</t>
  </si>
  <si>
    <t>Der Preis pro kWh ergibt sich bei dieser Berechnung aus dem Gesamtrechungsbetrag und dem Verbrauch (also inklusive Grund- und Arbeitspreis).</t>
  </si>
  <si>
    <r>
      <t>Werte inkl. Konzessionsabgabe und 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-Preis.</t>
    </r>
  </si>
  <si>
    <r>
      <t>Die Preise des Tarifes Garant ändern sich nicht bis einschließlich 2023 (bis auf die zusätzliche CO</t>
    </r>
    <r>
      <rPr>
        <vertAlign val="sub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>-Abgabe).</t>
    </r>
  </si>
  <si>
    <t>Netto</t>
  </si>
  <si>
    <t>0-10 kW</t>
  </si>
  <si>
    <t>ab 10 kW</t>
  </si>
  <si>
    <t>Messpreis</t>
  </si>
  <si>
    <t>Sifi</t>
  </si>
  <si>
    <t xml:space="preserve">Sifi-Tarif </t>
  </si>
  <si>
    <t>Berechnung des Erstattungsbeitrages im Dezember 2022</t>
  </si>
  <si>
    <t>UP R4+</t>
  </si>
  <si>
    <t>€/MW/a</t>
  </si>
  <si>
    <t>Bis auf kleinere Rundungsfehler können Sie mit dieser Aufstellung auch Ihre Jahresrechnung 2022 nachrechnen. Dazu wurde der MwSt.-Satz in Zelle D31 auf "Tarifpreise bis 2022" auf 7 % geändert</t>
  </si>
  <si>
    <t>Wie sich das für Ihre Verbrauchskosten in dem jeweiligen Fernwärmetarif auswirkt, können Sie in guter Näherung mit dieser Tabellenkalkulation errechnen.</t>
  </si>
  <si>
    <t>Vorauszahlung x 11 geteilt durch 12 mal 1,2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</si>
</sst>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0.000"/>
  </numFmts>
  <fonts count="73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vertAlign val="subscript"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u val="single"/>
      <sz val="11"/>
      <color indexed="25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u val="single"/>
      <sz val="11"/>
      <color indexed="30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4"/>
      <color indexed="62"/>
      <name val="Calibri"/>
      <family val="2"/>
    </font>
    <font>
      <sz val="11"/>
      <color indexed="62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sz val="11"/>
      <color indexed="57"/>
      <name val="Calibri"/>
      <family val="2"/>
    </font>
    <font>
      <sz val="14"/>
      <color indexed="57"/>
      <name val="Calibri"/>
      <family val="2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1"/>
      <color theme="11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1"/>
      <color theme="1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4"/>
      <color rgb="FFFF0000"/>
      <name val="Calibri"/>
      <family val="2"/>
    </font>
    <font>
      <sz val="11"/>
      <color rgb="FFFF0000"/>
      <name val="Calibri"/>
      <family val="2"/>
    </font>
    <font>
      <sz val="14"/>
      <color theme="8"/>
      <name val="Calibri"/>
      <family val="2"/>
    </font>
    <font>
      <sz val="11"/>
      <color theme="8"/>
      <name val="Calibri"/>
      <family val="2"/>
    </font>
    <font>
      <b/>
      <sz val="14"/>
      <color rgb="FFFF0000"/>
      <name val="Calibri"/>
      <family val="2"/>
    </font>
    <font>
      <b/>
      <sz val="16"/>
      <color rgb="FFFF0000"/>
      <name val="Calibri"/>
      <family val="2"/>
    </font>
    <font>
      <sz val="11"/>
      <color theme="9" tint="-0.24997000396251678"/>
      <name val="Calibri"/>
      <family val="2"/>
    </font>
    <font>
      <sz val="14"/>
      <color theme="9" tint="-0.24997000396251678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 horizontal="right" vertical="center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5" fillId="33" borderId="18" xfId="0" applyFont="1" applyFill="1" applyBorder="1" applyAlignment="1">
      <alignment/>
    </xf>
    <xf numFmtId="0" fontId="39" fillId="33" borderId="18" xfId="0" applyFont="1" applyFill="1" applyBorder="1" applyAlignment="1">
      <alignment/>
    </xf>
    <xf numFmtId="0" fontId="39" fillId="13" borderId="18" xfId="0" applyFont="1" applyFill="1" applyBorder="1" applyAlignment="1">
      <alignment horizontal="right"/>
    </xf>
    <xf numFmtId="0" fontId="39" fillId="13" borderId="18" xfId="0" applyFont="1" applyFill="1" applyBorder="1" applyAlignment="1">
      <alignment horizontal="left"/>
    </xf>
    <xf numFmtId="0" fontId="39" fillId="33" borderId="19" xfId="0" applyFont="1" applyFill="1" applyBorder="1" applyAlignment="1">
      <alignment/>
    </xf>
    <xf numFmtId="0" fontId="58" fillId="33" borderId="20" xfId="0" applyFont="1" applyFill="1" applyBorder="1" applyAlignment="1">
      <alignment/>
    </xf>
    <xf numFmtId="0" fontId="59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8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0" fillId="0" borderId="11" xfId="0" applyBorder="1" applyAlignment="1">
      <alignment/>
    </xf>
    <xf numFmtId="0" fontId="59" fillId="0" borderId="0" xfId="0" applyFont="1" applyBorder="1" applyAlignment="1">
      <alignment/>
    </xf>
    <xf numFmtId="0" fontId="58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61" fillId="0" borderId="0" xfId="0" applyFont="1" applyBorder="1" applyAlignment="1">
      <alignment/>
    </xf>
    <xf numFmtId="166" fontId="59" fillId="8" borderId="0" xfId="0" applyNumberFormat="1" applyFont="1" applyFill="1" applyBorder="1" applyAlignment="1">
      <alignment/>
    </xf>
    <xf numFmtId="0" fontId="62" fillId="0" borderId="0" xfId="0" applyFont="1" applyBorder="1" applyAlignment="1">
      <alignment/>
    </xf>
    <xf numFmtId="1" fontId="62" fillId="0" borderId="0" xfId="0" applyNumberFormat="1" applyFont="1" applyBorder="1" applyAlignment="1">
      <alignment/>
    </xf>
    <xf numFmtId="0" fontId="58" fillId="0" borderId="0" xfId="0" applyFont="1" applyBorder="1" applyAlignment="1">
      <alignment/>
    </xf>
    <xf numFmtId="164" fontId="59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9" fillId="0" borderId="0" xfId="0" applyFont="1" applyBorder="1" applyAlignment="1">
      <alignment/>
    </xf>
    <xf numFmtId="1" fontId="0" fillId="0" borderId="0" xfId="0" applyNumberFormat="1" applyAlignment="1">
      <alignment/>
    </xf>
    <xf numFmtId="0" fontId="58" fillId="0" borderId="21" xfId="0" applyFont="1" applyBorder="1" applyAlignment="1">
      <alignment horizontal="center" vertical="center"/>
    </xf>
    <xf numFmtId="0" fontId="58" fillId="33" borderId="22" xfId="0" applyFont="1" applyFill="1" applyBorder="1" applyAlignment="1">
      <alignment horizontal="center" vertical="center"/>
    </xf>
    <xf numFmtId="164" fontId="59" fillId="0" borderId="21" xfId="0" applyNumberFormat="1" applyFont="1" applyBorder="1" applyAlignment="1">
      <alignment/>
    </xf>
    <xf numFmtId="164" fontId="59" fillId="33" borderId="22" xfId="0" applyNumberFormat="1" applyFont="1" applyFill="1" applyBorder="1" applyAlignment="1">
      <alignment/>
    </xf>
    <xf numFmtId="164" fontId="59" fillId="0" borderId="23" xfId="0" applyNumberFormat="1" applyFont="1" applyBorder="1" applyAlignment="1">
      <alignment/>
    </xf>
    <xf numFmtId="164" fontId="59" fillId="33" borderId="24" xfId="0" applyNumberFormat="1" applyFont="1" applyFill="1" applyBorder="1" applyAlignment="1">
      <alignment/>
    </xf>
    <xf numFmtId="0" fontId="63" fillId="33" borderId="18" xfId="0" applyFont="1" applyFill="1" applyBorder="1" applyAlignment="1">
      <alignment/>
    </xf>
    <xf numFmtId="165" fontId="64" fillId="0" borderId="0" xfId="0" applyNumberFormat="1" applyFont="1" applyBorder="1" applyAlignment="1">
      <alignment/>
    </xf>
    <xf numFmtId="0" fontId="65" fillId="33" borderId="18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165" fontId="66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67" fillId="33" borderId="0" xfId="0" applyFont="1" applyFill="1" applyBorder="1" applyAlignment="1">
      <alignment vertical="center"/>
    </xf>
    <xf numFmtId="0" fontId="68" fillId="33" borderId="0" xfId="0" applyFont="1" applyFill="1" applyBorder="1" applyAlignment="1">
      <alignment vertical="center"/>
    </xf>
    <xf numFmtId="2" fontId="0" fillId="0" borderId="0" xfId="0" applyNumberFormat="1" applyAlignment="1">
      <alignment/>
    </xf>
    <xf numFmtId="164" fontId="59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2" fontId="39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2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5" fontId="69" fillId="0" borderId="0" xfId="0" applyNumberFormat="1" applyFont="1" applyBorder="1" applyAlignment="1">
      <alignment/>
    </xf>
    <xf numFmtId="0" fontId="61" fillId="33" borderId="10" xfId="0" applyFont="1" applyFill="1" applyBorder="1" applyAlignment="1">
      <alignment/>
    </xf>
    <xf numFmtId="165" fontId="64" fillId="0" borderId="10" xfId="0" applyNumberFormat="1" applyFont="1" applyBorder="1" applyAlignment="1">
      <alignment/>
    </xf>
    <xf numFmtId="0" fontId="70" fillId="33" borderId="19" xfId="0" applyFon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9" fillId="0" borderId="0" xfId="0" applyFont="1" applyBorder="1" applyAlignment="1">
      <alignment horizontal="right" vertical="center"/>
    </xf>
    <xf numFmtId="0" fontId="61" fillId="0" borderId="10" xfId="0" applyFont="1" applyFill="1" applyBorder="1" applyAlignment="1">
      <alignment/>
    </xf>
    <xf numFmtId="0" fontId="61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0" xfId="0" applyAlignment="1">
      <alignment vertical="center"/>
    </xf>
    <xf numFmtId="0" fontId="59" fillId="0" borderId="0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9" fillId="0" borderId="25" xfId="0" applyFont="1" applyBorder="1" applyAlignment="1">
      <alignment/>
    </xf>
    <xf numFmtId="0" fontId="58" fillId="0" borderId="26" xfId="0" applyFont="1" applyBorder="1" applyAlignment="1">
      <alignment horizontal="center"/>
    </xf>
    <xf numFmtId="164" fontId="59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64" fontId="59" fillId="0" borderId="27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59" fillId="0" borderId="22" xfId="0" applyNumberFormat="1" applyFont="1" applyBorder="1" applyAlignment="1">
      <alignment/>
    </xf>
    <xf numFmtId="164" fontId="59" fillId="0" borderId="24" xfId="0" applyNumberFormat="1" applyFont="1" applyBorder="1" applyAlignment="1">
      <alignment/>
    </xf>
    <xf numFmtId="164" fontId="59" fillId="0" borderId="22" xfId="0" applyNumberFormat="1" applyFont="1" applyFill="1" applyBorder="1" applyAlignment="1">
      <alignment/>
    </xf>
    <xf numFmtId="0" fontId="58" fillId="0" borderId="0" xfId="0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9" fillId="0" borderId="28" xfId="0" applyFont="1" applyBorder="1" applyAlignment="1">
      <alignment/>
    </xf>
    <xf numFmtId="0" fontId="58" fillId="0" borderId="22" xfId="0" applyFont="1" applyBorder="1" applyAlignment="1">
      <alignment horizontal="center"/>
    </xf>
    <xf numFmtId="164" fontId="59" fillId="33" borderId="29" xfId="0" applyNumberFormat="1" applyFont="1" applyFill="1" applyBorder="1" applyAlignment="1">
      <alignment/>
    </xf>
    <xf numFmtId="0" fontId="59" fillId="35" borderId="20" xfId="0" applyFont="1" applyFill="1" applyBorder="1" applyAlignment="1">
      <alignment horizontal="right" vertical="center"/>
    </xf>
    <xf numFmtId="164" fontId="59" fillId="0" borderId="30" xfId="0" applyNumberFormat="1" applyFont="1" applyBorder="1" applyAlignment="1">
      <alignment/>
    </xf>
    <xf numFmtId="164" fontId="59" fillId="0" borderId="19" xfId="0" applyNumberFormat="1" applyFont="1" applyBorder="1" applyAlignment="1">
      <alignment/>
    </xf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/>
    </xf>
    <xf numFmtId="0" fontId="0" fillId="35" borderId="0" xfId="0" applyFill="1" applyAlignment="1">
      <alignment/>
    </xf>
    <xf numFmtId="1" fontId="0" fillId="35" borderId="0" xfId="0" applyNumberFormat="1" applyFill="1" applyAlignment="1">
      <alignment/>
    </xf>
    <xf numFmtId="0" fontId="71" fillId="0" borderId="0" xfId="0" applyFont="1" applyBorder="1" applyAlignment="1">
      <alignment horizontal="center"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0" fontId="59" fillId="35" borderId="31" xfId="0" applyFont="1" applyFill="1" applyBorder="1" applyAlignment="1">
      <alignment horizontal="right" vertical="center"/>
    </xf>
    <xf numFmtId="9" fontId="0" fillId="0" borderId="32" xfId="0" applyNumberFormat="1" applyBorder="1" applyAlignment="1">
      <alignment horizontal="center" vertical="center"/>
    </xf>
    <xf numFmtId="164" fontId="59" fillId="0" borderId="33" xfId="0" applyNumberFormat="1" applyFont="1" applyBorder="1" applyAlignment="1">
      <alignment/>
    </xf>
    <xf numFmtId="164" fontId="59" fillId="33" borderId="34" xfId="0" applyNumberFormat="1" applyFont="1" applyFill="1" applyBorder="1" applyAlignment="1">
      <alignment/>
    </xf>
    <xf numFmtId="164" fontId="59" fillId="0" borderId="35" xfId="0" applyNumberFormat="1" applyFont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1" fontId="71" fillId="0" borderId="0" xfId="0" applyNumberFormat="1" applyFont="1" applyBorder="1" applyAlignment="1">
      <alignment/>
    </xf>
    <xf numFmtId="0" fontId="39" fillId="0" borderId="11" xfId="0" applyFont="1" applyBorder="1" applyAlignment="1">
      <alignment/>
    </xf>
    <xf numFmtId="0" fontId="39" fillId="13" borderId="0" xfId="0" applyFont="1" applyFill="1" applyBorder="1" applyAlignment="1">
      <alignment/>
    </xf>
    <xf numFmtId="0" fontId="39" fillId="13" borderId="11" xfId="0" applyFont="1" applyFill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4" fontId="0" fillId="33" borderId="0" xfId="0" applyNumberFormat="1" applyFill="1" applyBorder="1" applyAlignment="1">
      <alignment horizontal="center" vertical="center"/>
    </xf>
    <xf numFmtId="0" fontId="59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/>
    </xf>
    <xf numFmtId="0" fontId="58" fillId="0" borderId="36" xfId="0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0" fontId="59" fillId="35" borderId="0" xfId="0" applyFont="1" applyFill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39" fillId="13" borderId="18" xfId="0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10</xdr:row>
      <xdr:rowOff>85725</xdr:rowOff>
    </xdr:from>
    <xdr:to>
      <xdr:col>8</xdr:col>
      <xdr:colOff>76200</xdr:colOff>
      <xdr:row>13</xdr:row>
      <xdr:rowOff>133350</xdr:rowOff>
    </xdr:to>
    <xdr:sp>
      <xdr:nvSpPr>
        <xdr:cNvPr id="1" name="Gebogener Pfeil 2"/>
        <xdr:cNvSpPr>
          <a:spLocks/>
        </xdr:cNvSpPr>
      </xdr:nvSpPr>
      <xdr:spPr>
        <a:xfrm rot="4331235">
          <a:off x="5610225" y="1733550"/>
          <a:ext cx="600075" cy="609600"/>
        </a:xfrm>
        <a:custGeom>
          <a:pathLst>
            <a:path h="603693" w="604415">
              <a:moveTo>
                <a:pt x="37731" y="301847"/>
              </a:moveTo>
              <a:cubicBezTo>
                <a:pt x="37731" y="170372"/>
                <a:pt x="134565" y="58916"/>
                <a:pt x="264903" y="40372"/>
              </a:cubicBezTo>
              <a:cubicBezTo>
                <a:pt x="395167" y="21838"/>
                <a:pt x="519263" y="101750"/>
                <a:pt x="556106" y="227894"/>
              </a:cubicBezTo>
              <a:lnTo>
                <a:pt x="591975" y="227893"/>
              </a:lnTo>
              <a:lnTo>
                <a:pt x="528953" y="301846"/>
              </a:lnTo>
              <a:lnTo>
                <a:pt x="441052" y="227893"/>
              </a:lnTo>
              <a:lnTo>
                <a:pt x="476094" y="227893"/>
              </a:lnTo>
              <a:cubicBezTo>
                <a:pt x="440906" y="145471"/>
                <a:pt x="352491" y="99119"/>
                <a:pt x="264528" y="116979"/>
              </a:cubicBezTo>
              <a:cubicBezTo>
                <a:pt x="176466" y="134859"/>
                <a:pt x="113192" y="212152"/>
                <a:pt x="113192" y="301847"/>
              </a:cubicBezTo>
              <a:lnTo>
                <a:pt x="37731" y="301847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38100</xdr:colOff>
      <xdr:row>5</xdr:row>
      <xdr:rowOff>28575</xdr:rowOff>
    </xdr:from>
    <xdr:to>
      <xdr:col>14</xdr:col>
      <xdr:colOff>762000</xdr:colOff>
      <xdr:row>5</xdr:row>
      <xdr:rowOff>247650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73342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10</xdr:row>
      <xdr:rowOff>47625</xdr:rowOff>
    </xdr:from>
    <xdr:to>
      <xdr:col>8</xdr:col>
      <xdr:colOff>85725</xdr:colOff>
      <xdr:row>13</xdr:row>
      <xdr:rowOff>95250</xdr:rowOff>
    </xdr:to>
    <xdr:sp>
      <xdr:nvSpPr>
        <xdr:cNvPr id="1" name="Gebogener Pfeil 1"/>
        <xdr:cNvSpPr>
          <a:spLocks/>
        </xdr:cNvSpPr>
      </xdr:nvSpPr>
      <xdr:spPr>
        <a:xfrm rot="4331235">
          <a:off x="5648325" y="1704975"/>
          <a:ext cx="571500" cy="60007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723900</xdr:colOff>
      <xdr:row>5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7143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10</xdr:row>
      <xdr:rowOff>28575</xdr:rowOff>
    </xdr:from>
    <xdr:to>
      <xdr:col>8</xdr:col>
      <xdr:colOff>123825</xdr:colOff>
      <xdr:row>13</xdr:row>
      <xdr:rowOff>76200</xdr:rowOff>
    </xdr:to>
    <xdr:sp>
      <xdr:nvSpPr>
        <xdr:cNvPr id="1" name="Gebogener Pfeil 1"/>
        <xdr:cNvSpPr>
          <a:spLocks/>
        </xdr:cNvSpPr>
      </xdr:nvSpPr>
      <xdr:spPr>
        <a:xfrm rot="4331235">
          <a:off x="5543550" y="1676400"/>
          <a:ext cx="647700" cy="60007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723900</xdr:colOff>
      <xdr:row>5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704850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10</xdr:row>
      <xdr:rowOff>28575</xdr:rowOff>
    </xdr:from>
    <xdr:to>
      <xdr:col>8</xdr:col>
      <xdr:colOff>133350</xdr:colOff>
      <xdr:row>13</xdr:row>
      <xdr:rowOff>76200</xdr:rowOff>
    </xdr:to>
    <xdr:sp>
      <xdr:nvSpPr>
        <xdr:cNvPr id="1" name="Gebogener Pfeil 1"/>
        <xdr:cNvSpPr>
          <a:spLocks/>
        </xdr:cNvSpPr>
      </xdr:nvSpPr>
      <xdr:spPr>
        <a:xfrm rot="4331235">
          <a:off x="5543550" y="1657350"/>
          <a:ext cx="638175" cy="619125"/>
        </a:xfrm>
        <a:custGeom>
          <a:pathLst>
            <a:path h="651318" w="728240">
              <a:moveTo>
                <a:pt x="40707" y="325659"/>
              </a:moveTo>
              <a:cubicBezTo>
                <a:pt x="40707" y="182212"/>
                <a:pt x="161733" y="61127"/>
                <a:pt x="323235" y="42993"/>
              </a:cubicBezTo>
              <a:cubicBezTo>
                <a:pt x="476235" y="25814"/>
                <a:pt x="621713" y="106218"/>
                <a:pt x="670751" y="235062"/>
              </a:cubicBezTo>
              <a:lnTo>
                <a:pt x="708072" y="235062"/>
              </a:lnTo>
              <a:lnTo>
                <a:pt x="646825" y="325659"/>
              </a:lnTo>
              <a:lnTo>
                <a:pt x="545243" y="235062"/>
              </a:lnTo>
              <a:lnTo>
                <a:pt x="580823" y="235062"/>
              </a:lnTo>
              <a:cubicBezTo>
                <a:pt x="533361" y="154754"/>
                <a:pt x="428997" y="110038"/>
                <a:pt x="323855" y="124959"/>
              </a:cubicBezTo>
              <a:cubicBezTo>
                <a:pt x="207388" y="141488"/>
                <a:pt x="122122" y="226317"/>
                <a:pt x="122122" y="325659"/>
              </a:cubicBezTo>
              <a:lnTo>
                <a:pt x="40707" y="325659"/>
              </a:lnTo>
              <a:close/>
            </a:path>
          </a:pathLst>
        </a:cu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14</xdr:col>
      <xdr:colOff>0</xdr:colOff>
      <xdr:row>5</xdr:row>
      <xdr:rowOff>0</xdr:rowOff>
    </xdr:from>
    <xdr:to>
      <xdr:col>14</xdr:col>
      <xdr:colOff>723900</xdr:colOff>
      <xdr:row>5</xdr:row>
      <xdr:rowOff>219075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7143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9"/>
  <sheetViews>
    <sheetView tabSelected="1" zoomScalePageLayoutView="0" workbookViewId="0" topLeftCell="A1">
      <selection activeCell="F39" sqref="F39"/>
    </sheetView>
  </sheetViews>
  <sheetFormatPr defaultColWidth="11.421875" defaultRowHeight="15"/>
  <cols>
    <col min="1" max="1" width="2.140625" style="0" customWidth="1"/>
    <col min="2" max="2" width="2.00390625" style="0" customWidth="1"/>
    <col min="3" max="3" width="28.28125" style="0" customWidth="1"/>
    <col min="4" max="4" width="8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1.1484375" style="0" customWidth="1"/>
    <col min="10" max="10" width="9.421875" style="0" customWidth="1"/>
    <col min="11" max="11" width="10.7109375" style="0" customWidth="1"/>
    <col min="12" max="12" width="9.7109375" style="0" customWidth="1"/>
    <col min="13" max="13" width="12.00390625" style="0" customWidth="1"/>
    <col min="14" max="14" width="12.140625" style="0" customWidth="1"/>
    <col min="15" max="15" width="12.00390625" style="0" customWidth="1"/>
    <col min="16" max="16" width="10.140625" style="0" customWidth="1"/>
    <col min="17" max="17" width="18.28125" style="0" customWidth="1"/>
    <col min="18" max="18" width="4.421875" style="0" customWidth="1"/>
    <col min="20" max="20" width="11.421875" style="133" customWidth="1"/>
  </cols>
  <sheetData>
    <row r="1" ht="5.25" customHeight="1"/>
    <row r="2" spans="2:17" ht="19.5" customHeight="1">
      <c r="B2" s="141" t="s">
        <v>52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2:17" ht="19.5" customHeight="1">
      <c r="B3" s="141" t="s">
        <v>74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ht="5.25" customHeight="1" thickBot="1"/>
    <row r="5" spans="2:17" ht="6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2:17" ht="21">
      <c r="B6" s="23"/>
      <c r="C6" s="25" t="s">
        <v>0</v>
      </c>
      <c r="D6" s="26"/>
      <c r="E6" s="26"/>
      <c r="F6" s="60" t="s">
        <v>20</v>
      </c>
      <c r="G6" s="59"/>
      <c r="H6" s="27"/>
      <c r="I6" s="27"/>
      <c r="J6" s="2"/>
      <c r="K6" s="2"/>
      <c r="L6" s="2"/>
      <c r="M6" s="2"/>
      <c r="N6" s="2"/>
      <c r="O6" s="2"/>
      <c r="P6" s="128">
        <v>44910</v>
      </c>
      <c r="Q6" s="94" t="s">
        <v>71</v>
      </c>
    </row>
    <row r="7" spans="2:17" ht="9" customHeight="1">
      <c r="B7" s="23"/>
      <c r="C7" s="29"/>
      <c r="D7" s="29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8"/>
    </row>
    <row r="8" spans="2:17" ht="18.75">
      <c r="B8" s="23"/>
      <c r="C8" s="29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8"/>
    </row>
    <row r="9" spans="2:17" ht="18.75">
      <c r="B9" s="23"/>
      <c r="C9" s="129" t="s">
        <v>29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4"/>
      <c r="O9" s="24"/>
      <c r="P9" s="24"/>
      <c r="Q9" s="28"/>
    </row>
    <row r="10" spans="2:17" ht="6.7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8"/>
    </row>
    <row r="11" spans="2:17" ht="18.75">
      <c r="B11" s="23"/>
      <c r="C11" s="30" t="s">
        <v>22</v>
      </c>
      <c r="D11" s="31"/>
      <c r="E11" s="31"/>
      <c r="F11" s="31"/>
      <c r="G11" s="31"/>
      <c r="H11" s="24"/>
      <c r="I11" s="24"/>
      <c r="J11" s="24"/>
      <c r="K11" s="24"/>
      <c r="L11" s="24"/>
      <c r="M11" s="24"/>
      <c r="N11" s="24"/>
      <c r="O11" s="24"/>
      <c r="P11" s="24"/>
      <c r="Q11" s="28"/>
    </row>
    <row r="12" spans="2:17" ht="6.75" customHeight="1">
      <c r="B12" s="23"/>
      <c r="C12" s="3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8"/>
    </row>
    <row r="13" spans="2:17" ht="18.75">
      <c r="B13" s="23"/>
      <c r="C13" s="29" t="s">
        <v>1</v>
      </c>
      <c r="D13" s="29"/>
      <c r="E13" s="29"/>
      <c r="F13" s="29"/>
      <c r="G13" s="33">
        <v>3</v>
      </c>
      <c r="H13" s="24" t="s">
        <v>2</v>
      </c>
      <c r="I13" s="24"/>
      <c r="J13" s="24"/>
      <c r="K13" s="24"/>
      <c r="L13" s="24"/>
      <c r="M13" s="24"/>
      <c r="N13" s="24"/>
      <c r="O13" s="24"/>
      <c r="P13" s="24"/>
      <c r="Q13" s="28"/>
    </row>
    <row r="14" spans="2:17" ht="18.75">
      <c r="B14" s="23"/>
      <c r="C14" s="29" t="s">
        <v>40</v>
      </c>
      <c r="D14" s="29"/>
      <c r="E14" s="29"/>
      <c r="F14" s="29"/>
      <c r="G14" s="33">
        <v>5</v>
      </c>
      <c r="H14" s="24" t="s">
        <v>3</v>
      </c>
      <c r="I14" s="24"/>
      <c r="J14" s="24"/>
      <c r="K14" s="24"/>
      <c r="L14" s="24"/>
      <c r="M14" s="24"/>
      <c r="N14" s="24"/>
      <c r="O14" s="24"/>
      <c r="P14" s="24"/>
      <c r="Q14" s="28"/>
    </row>
    <row r="15" spans="2:17" ht="6.75" customHeight="1">
      <c r="B15" s="23"/>
      <c r="C15" s="32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8"/>
    </row>
    <row r="16" spans="2:17" ht="15">
      <c r="B16" s="23"/>
      <c r="C16" s="103" t="s">
        <v>19</v>
      </c>
      <c r="D16" s="34"/>
      <c r="E16" s="34"/>
      <c r="F16" s="34"/>
      <c r="G16" s="119">
        <f>1000*G14/G13</f>
        <v>1666.6666666666667</v>
      </c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2:17" ht="6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8"/>
    </row>
    <row r="18" spans="2:20" ht="18.75">
      <c r="B18" s="23"/>
      <c r="C18" s="29"/>
      <c r="D18" s="103" t="s">
        <v>59</v>
      </c>
      <c r="E18" s="139" t="s">
        <v>6</v>
      </c>
      <c r="F18" s="140"/>
      <c r="G18" s="84"/>
      <c r="H18" s="24"/>
      <c r="I18" s="24"/>
      <c r="J18" s="142" t="s">
        <v>44</v>
      </c>
      <c r="K18" s="142"/>
      <c r="L18" s="142"/>
      <c r="M18" s="24"/>
      <c r="N18" s="24"/>
      <c r="O18" s="24"/>
      <c r="P18" s="24"/>
      <c r="Q18" s="28"/>
      <c r="T18" s="135" t="s">
        <v>69</v>
      </c>
    </row>
    <row r="19" spans="2:17" ht="18.75">
      <c r="B19" s="23"/>
      <c r="C19" s="36" t="s">
        <v>7</v>
      </c>
      <c r="D19" s="29"/>
      <c r="E19" s="43" t="s">
        <v>4</v>
      </c>
      <c r="F19" s="44" t="s">
        <v>5</v>
      </c>
      <c r="G19" s="85" t="s">
        <v>8</v>
      </c>
      <c r="H19" s="24"/>
      <c r="I19" s="24"/>
      <c r="J19" s="115" t="s">
        <v>4</v>
      </c>
      <c r="K19" s="116" t="s">
        <v>5</v>
      </c>
      <c r="L19" s="24"/>
      <c r="M19" s="24"/>
      <c r="N19" s="24"/>
      <c r="O19" s="24"/>
      <c r="P19" s="24"/>
      <c r="Q19" s="28"/>
    </row>
    <row r="20" spans="2:17" ht="2.25" customHeight="1">
      <c r="B20" s="23"/>
      <c r="C20" s="36"/>
      <c r="D20" s="29"/>
      <c r="E20" s="43"/>
      <c r="F20" s="44"/>
      <c r="G20" s="85"/>
      <c r="H20" s="24"/>
      <c r="I20" s="24"/>
      <c r="J20" s="24"/>
      <c r="K20" s="24"/>
      <c r="L20" s="24"/>
      <c r="M20" s="24"/>
      <c r="N20" s="24"/>
      <c r="O20" s="24"/>
      <c r="P20" s="24"/>
      <c r="Q20" s="28"/>
    </row>
    <row r="21" spans="2:20" ht="18.75">
      <c r="B21" s="23"/>
      <c r="C21" s="29">
        <v>2021</v>
      </c>
      <c r="D21" s="29"/>
      <c r="E21" s="45">
        <f>+($G$13*'Tarifpreise bis 2022'!$M$15)+($G$14*'Tarifpreise bis 2022'!$M$18)</f>
        <v>520.4694000000001</v>
      </c>
      <c r="F21" s="46">
        <f>+('Tarifpreise bis 2022'!$I$6)+($G$14*'Tarifpreise bis 2022'!$I$8)+($G$14*'Tarifpreise bis 2022'!M29)</f>
        <v>587.3765000000001</v>
      </c>
      <c r="G21" s="86">
        <f>+E21-F21</f>
        <v>-66.90710000000001</v>
      </c>
      <c r="H21" s="24"/>
      <c r="I21" s="24"/>
      <c r="J21" s="66">
        <f aca="true" t="shared" si="0" ref="J21:K23">+E21/$G$14/10</f>
        <v>10.409388000000002</v>
      </c>
      <c r="K21" s="66">
        <f t="shared" si="0"/>
        <v>11.747530000000001</v>
      </c>
      <c r="L21" s="95" t="s">
        <v>43</v>
      </c>
      <c r="M21" s="24"/>
      <c r="N21" s="24"/>
      <c r="O21" s="24"/>
      <c r="P21" s="24"/>
      <c r="Q21" s="28"/>
      <c r="S21" s="61"/>
      <c r="T21" s="136"/>
    </row>
    <row r="22" spans="2:20" ht="18.75">
      <c r="B22" s="23"/>
      <c r="C22" s="29">
        <v>2022</v>
      </c>
      <c r="D22" s="109">
        <f>+'Tarifpreise bis 2022'!$D$31</f>
        <v>0.07</v>
      </c>
      <c r="E22" s="45">
        <f>+($G$13*'Tarifpreise bis 2022'!$Q$15)+($G$14*'Tarifpreise bis 2022'!$Q$18)</f>
        <v>544.6086</v>
      </c>
      <c r="F22" s="46">
        <f>+('Tarifpreise bis 2022'!$I$6)+($G$14*'Tarifpreise bis 2022'!$I$8)+($G$14*'Tarifpreise bis 2022'!Q29)</f>
        <v>588.393</v>
      </c>
      <c r="G22" s="86">
        <f>+E22-F22</f>
        <v>-43.784400000000005</v>
      </c>
      <c r="H22" s="24"/>
      <c r="I22" s="24"/>
      <c r="J22" s="66">
        <f t="shared" si="0"/>
        <v>10.892172</v>
      </c>
      <c r="K22" s="66">
        <f t="shared" si="0"/>
        <v>11.76786</v>
      </c>
      <c r="L22" s="95" t="s">
        <v>43</v>
      </c>
      <c r="M22" s="24"/>
      <c r="N22" s="24"/>
      <c r="O22" s="24"/>
      <c r="P22" s="24"/>
      <c r="Q22" s="28"/>
      <c r="S22" s="108"/>
      <c r="T22" s="136"/>
    </row>
    <row r="23" spans="2:22" ht="18.75">
      <c r="B23" s="23"/>
      <c r="C23" s="74" t="s">
        <v>50</v>
      </c>
      <c r="D23" s="109">
        <f>+'Tarifpreise ab 2023'!$D$31</f>
        <v>0.07</v>
      </c>
      <c r="E23" s="45">
        <f>+($G$13*'Tarifpreise ab 2023'!$U$15)+($G$14*'Tarifpreise ab 2023'!$U18)</f>
        <v>813.2641999999998</v>
      </c>
      <c r="F23" s="46">
        <f>+('Tarifpreise ab 2023'!$I$6)+($G$14*'Tarifpreise ab 2023'!$I$8)+($G$14*'Tarifpreise ab 2023'!U29)</f>
        <v>589.0350000000001</v>
      </c>
      <c r="G23" s="86">
        <f>+E23-F23</f>
        <v>224.22919999999976</v>
      </c>
      <c r="H23" s="24"/>
      <c r="I23" s="24"/>
      <c r="J23" s="66">
        <f t="shared" si="0"/>
        <v>16.265283999999998</v>
      </c>
      <c r="K23" s="66">
        <f t="shared" si="0"/>
        <v>11.780700000000001</v>
      </c>
      <c r="L23" s="95" t="s">
        <v>43</v>
      </c>
      <c r="M23" s="24"/>
      <c r="N23" s="24"/>
      <c r="O23" s="24"/>
      <c r="P23" s="24"/>
      <c r="Q23" s="28"/>
      <c r="S23" s="131">
        <f>+(E23/E22)-1</f>
        <v>0.49330032614248065</v>
      </c>
      <c r="T23" s="136">
        <f>+('Tarifpreise Sifi ab 2023'!U15+($G$13-10)*'Tarifpreise Sifi ab 2023'!U16)+('Tarifpreise Sifi ab 2023'!U18)+($G$14*'Tarifpreise Sifi ab 2023'!U18)</f>
        <v>664.0848000000001</v>
      </c>
      <c r="U23" s="137">
        <f>+T23/F23</f>
        <v>1.1274114441416894</v>
      </c>
      <c r="V23">
        <f>+E23/T23</f>
        <v>1.2246390822376898</v>
      </c>
    </row>
    <row r="24" spans="2:17" ht="6.75" customHeight="1" thickBot="1">
      <c r="B24" s="23"/>
      <c r="C24" s="24"/>
      <c r="D24" s="104"/>
      <c r="E24" s="82"/>
      <c r="F24" s="83"/>
      <c r="G24" s="87"/>
      <c r="H24" s="24"/>
      <c r="I24" s="24"/>
      <c r="J24" s="24"/>
      <c r="K24" s="24"/>
      <c r="L24" s="96"/>
      <c r="M24" s="24"/>
      <c r="N24" s="24"/>
      <c r="O24" s="24"/>
      <c r="P24" s="24"/>
      <c r="Q24" s="28"/>
    </row>
    <row r="25" spans="2:17" ht="20.25" customHeight="1" thickBot="1">
      <c r="B25" s="23"/>
      <c r="C25" s="110" t="s">
        <v>51</v>
      </c>
      <c r="D25" s="111">
        <f>+'Tarifpreise ab 2023'!$D$31</f>
        <v>0.07</v>
      </c>
      <c r="E25" s="112">
        <f>+($G$13*'Tarifpreise ab 2023'!$U$15)+($G$14*'Tarifpreise ab 2023'!$U18)*0.2+($G$14*'Tarifpreise ab 2023'!$U19)*0.8+($G$14*'Tarifpreise ab 2023'!U29)</f>
        <v>735.7643000000002</v>
      </c>
      <c r="F25" s="113">
        <f>+('Tarifpreise ab 2023'!$I$6)+($G$14*'Tarifpreise ab 2023'!$I$8)*0.2+($G$14*'Tarifpreise ab 2023'!$I$8)*0.8+($G$14*'Tarifpreise ab 2023'!U29)</f>
        <v>589.0350000000001</v>
      </c>
      <c r="G25" s="114">
        <f>+E25-F25</f>
        <v>146.72930000000008</v>
      </c>
      <c r="H25" s="24"/>
      <c r="I25" s="24"/>
      <c r="J25" s="66">
        <f>+E25/$G$14/10</f>
        <v>14.715286000000003</v>
      </c>
      <c r="K25" s="66">
        <f>+F25/$G$14/10</f>
        <v>11.780700000000001</v>
      </c>
      <c r="L25" s="95" t="s">
        <v>43</v>
      </c>
      <c r="M25" s="24"/>
      <c r="N25" s="24"/>
      <c r="O25" s="24"/>
      <c r="P25" s="24"/>
      <c r="Q25" s="28"/>
    </row>
    <row r="26" spans="2:17" ht="7.5" customHeight="1" thickTop="1">
      <c r="B26" s="23"/>
      <c r="C26" s="29"/>
      <c r="D26" s="24"/>
      <c r="E26" s="82"/>
      <c r="F26" s="83"/>
      <c r="G26" s="87"/>
      <c r="H26" s="24"/>
      <c r="I26" s="24"/>
      <c r="J26" s="24"/>
      <c r="K26" s="24"/>
      <c r="L26" s="24"/>
      <c r="M26" s="24"/>
      <c r="N26" s="24"/>
      <c r="O26" s="24"/>
      <c r="P26" s="24"/>
      <c r="Q26" s="28"/>
    </row>
    <row r="27" spans="2:17" ht="20.25" customHeight="1">
      <c r="B27" s="23"/>
      <c r="C27" s="81" t="s">
        <v>56</v>
      </c>
      <c r="D27" s="24"/>
      <c r="E27" s="47">
        <f>+E25/11</f>
        <v>66.88766363636365</v>
      </c>
      <c r="F27" s="48">
        <f>+F25/11</f>
        <v>53.54863636363637</v>
      </c>
      <c r="G27" s="88">
        <f>+E27-F27</f>
        <v>13.339027272727286</v>
      </c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2:17" ht="6.75" customHeight="1">
      <c r="B28" s="23"/>
      <c r="C28" s="29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2:17" ht="18.75">
      <c r="B29" s="23"/>
      <c r="C29" s="41" t="s">
        <v>62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20"/>
    </row>
    <row r="30" spans="2:17" ht="18.75">
      <c r="B30" s="23"/>
      <c r="C30" s="41" t="s">
        <v>63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20"/>
    </row>
    <row r="31" spans="2:17" ht="15.75">
      <c r="B31" s="23"/>
      <c r="C31" s="41" t="s">
        <v>60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20"/>
    </row>
    <row r="32" spans="2:17" ht="15.75">
      <c r="B32" s="23"/>
      <c r="C32" s="41" t="s">
        <v>61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120"/>
    </row>
    <row r="33" spans="2:17" ht="6" customHeight="1">
      <c r="B33" s="2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20"/>
    </row>
    <row r="34" spans="2:17" ht="15.75">
      <c r="B34" s="23"/>
      <c r="C34" s="121" t="s">
        <v>73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</row>
    <row r="35" spans="2:17" ht="6" customHeight="1" thickBo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ht="4.5" customHeight="1"/>
    <row r="37" spans="3:7" ht="15">
      <c r="C37" t="s">
        <v>47</v>
      </c>
      <c r="D37" t="s">
        <v>45</v>
      </c>
      <c r="F37" t="s">
        <v>48</v>
      </c>
      <c r="G37" t="s">
        <v>46</v>
      </c>
    </row>
    <row r="39" spans="3:6" ht="15">
      <c r="C39" t="s">
        <v>70</v>
      </c>
      <c r="F39" t="s">
        <v>75</v>
      </c>
    </row>
  </sheetData>
  <sheetProtection/>
  <mergeCells count="4">
    <mergeCell ref="E18:F18"/>
    <mergeCell ref="B2:Q2"/>
    <mergeCell ref="B3:Q3"/>
    <mergeCell ref="J18:L18"/>
  </mergeCells>
  <conditionalFormatting sqref="G21:G22">
    <cfRule type="cellIs" priority="8" dxfId="20" operator="greaterThan" stopIfTrue="1">
      <formula>0</formula>
    </cfRule>
  </conditionalFormatting>
  <conditionalFormatting sqref="G23">
    <cfRule type="cellIs" priority="3" dxfId="20" operator="greaterThan" stopIfTrue="1">
      <formula>0</formula>
    </cfRule>
  </conditionalFormatting>
  <conditionalFormatting sqref="G25">
    <cfRule type="cellIs" priority="2" dxfId="20" operator="greaterThan" stopIfTrue="1">
      <formula>0</formula>
    </cfRule>
  </conditionalFormatting>
  <conditionalFormatting sqref="G27">
    <cfRule type="cellIs" priority="1" dxfId="20" operator="greaterThan" stopIfTrue="1">
      <formula>0</formula>
    </cfRule>
  </conditionalFormatting>
  <dataValidations count="1">
    <dataValidation type="decimal" allowBlank="1" showInputMessage="1" showErrorMessage="1" errorTitle="Bis 20 kW" error="Bitte nur bis 20 kW eingeben, sonst anderes Tabellenblatt benutzen" sqref="G13">
      <formula1>0</formula1>
      <formula2>20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9"/>
  <sheetViews>
    <sheetView zoomScalePageLayoutView="0" workbookViewId="0" topLeftCell="A1">
      <selection activeCell="F39" sqref="F39"/>
    </sheetView>
  </sheetViews>
  <sheetFormatPr defaultColWidth="11.421875" defaultRowHeight="15"/>
  <cols>
    <col min="1" max="1" width="2.00390625" style="0" customWidth="1"/>
    <col min="2" max="2" width="2.140625" style="0" customWidth="1"/>
    <col min="3" max="3" width="28.421875" style="0" customWidth="1"/>
    <col min="4" max="4" width="8.0039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1.28515625" style="0" customWidth="1"/>
    <col min="10" max="12" width="9.7109375" style="0" customWidth="1"/>
    <col min="13" max="13" width="12.00390625" style="0" customWidth="1"/>
    <col min="14" max="14" width="12.140625" style="0" customWidth="1"/>
    <col min="15" max="15" width="12.00390625" style="0" customWidth="1"/>
    <col min="16" max="16" width="10.140625" style="0" customWidth="1"/>
    <col min="17" max="17" width="18.7109375" style="0" customWidth="1"/>
  </cols>
  <sheetData>
    <row r="1" ht="5.25" customHeight="1"/>
    <row r="2" spans="2:17" ht="19.5" customHeight="1">
      <c r="B2" s="141" t="s">
        <v>52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2:17" ht="19.5" customHeight="1">
      <c r="B3" s="141" t="s">
        <v>74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ht="5.25" customHeight="1" thickBot="1"/>
    <row r="5" spans="2:17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2:17" ht="21">
      <c r="B6" s="23"/>
      <c r="C6" s="25" t="s">
        <v>0</v>
      </c>
      <c r="D6" s="26"/>
      <c r="E6" s="26"/>
      <c r="F6" s="60" t="s">
        <v>23</v>
      </c>
      <c r="G6" s="59"/>
      <c r="H6" s="27"/>
      <c r="I6" s="27"/>
      <c r="J6" s="2"/>
      <c r="K6" s="2"/>
      <c r="L6" s="2"/>
      <c r="M6" s="2"/>
      <c r="N6" s="2"/>
      <c r="O6" s="2"/>
      <c r="P6" s="128">
        <v>44910</v>
      </c>
      <c r="Q6" s="94" t="str">
        <f>+'Kundendaten bis 20 kW'!Q6</f>
        <v>UP R4+</v>
      </c>
    </row>
    <row r="7" spans="2:17" ht="9" customHeight="1">
      <c r="B7" s="23"/>
      <c r="C7" s="29"/>
      <c r="D7" s="29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8"/>
    </row>
    <row r="8" spans="2:17" ht="18.75">
      <c r="B8" s="23"/>
      <c r="C8" s="29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8"/>
    </row>
    <row r="9" spans="2:17" ht="18.75">
      <c r="B9" s="23"/>
      <c r="C9" s="129" t="s">
        <v>29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4"/>
      <c r="O9" s="24"/>
      <c r="P9" s="24"/>
      <c r="Q9" s="28"/>
    </row>
    <row r="10" spans="2:17" ht="6.7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8"/>
    </row>
    <row r="11" spans="2:17" ht="18.75">
      <c r="B11" s="23"/>
      <c r="C11" s="30" t="s">
        <v>22</v>
      </c>
      <c r="D11" s="31"/>
      <c r="E11" s="31"/>
      <c r="F11" s="31"/>
      <c r="G11" s="31"/>
      <c r="H11" s="24"/>
      <c r="I11" s="24"/>
      <c r="J11" s="24"/>
      <c r="K11" s="24"/>
      <c r="L11" s="24"/>
      <c r="M11" s="24"/>
      <c r="N11" s="24"/>
      <c r="O11" s="24"/>
      <c r="P11" s="24"/>
      <c r="Q11" s="28"/>
    </row>
    <row r="12" spans="2:17" ht="6" customHeight="1">
      <c r="B12" s="23"/>
      <c r="C12" s="3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8"/>
    </row>
    <row r="13" spans="2:17" ht="18.75">
      <c r="B13" s="23"/>
      <c r="C13" s="29" t="s">
        <v>1</v>
      </c>
      <c r="D13" s="41"/>
      <c r="E13" s="41"/>
      <c r="F13" s="41"/>
      <c r="G13" s="33">
        <v>20.001</v>
      </c>
      <c r="H13" s="24" t="s">
        <v>2</v>
      </c>
      <c r="I13" s="24"/>
      <c r="J13" s="24"/>
      <c r="K13" s="24"/>
      <c r="L13" s="24"/>
      <c r="M13" s="24"/>
      <c r="N13" s="24"/>
      <c r="O13" s="24"/>
      <c r="P13" s="24"/>
      <c r="Q13" s="28"/>
    </row>
    <row r="14" spans="2:17" ht="18.75">
      <c r="B14" s="23"/>
      <c r="C14" s="29" t="s">
        <v>40</v>
      </c>
      <c r="D14" s="41"/>
      <c r="E14" s="41"/>
      <c r="F14" s="41"/>
      <c r="G14" s="33">
        <v>35</v>
      </c>
      <c r="H14" s="24" t="s">
        <v>3</v>
      </c>
      <c r="I14" s="24"/>
      <c r="J14" s="24"/>
      <c r="K14" s="24"/>
      <c r="L14" s="24"/>
      <c r="M14" s="24"/>
      <c r="N14" s="24"/>
      <c r="O14" s="24"/>
      <c r="P14" s="24"/>
      <c r="Q14" s="28"/>
    </row>
    <row r="15" spans="2:17" ht="8.25" customHeight="1">
      <c r="B15" s="23"/>
      <c r="C15" s="36"/>
      <c r="D15" s="29"/>
      <c r="E15" s="29"/>
      <c r="F15" s="29"/>
      <c r="G15" s="29"/>
      <c r="H15" s="24"/>
      <c r="I15" s="24"/>
      <c r="J15" s="24"/>
      <c r="K15" s="24"/>
      <c r="L15" s="24"/>
      <c r="M15" s="24"/>
      <c r="N15" s="24"/>
      <c r="O15" s="24"/>
      <c r="P15" s="24"/>
      <c r="Q15" s="28"/>
    </row>
    <row r="16" spans="2:17" ht="15" customHeight="1">
      <c r="B16" s="23"/>
      <c r="C16" s="103" t="s">
        <v>19</v>
      </c>
      <c r="D16" s="34"/>
      <c r="E16" s="34"/>
      <c r="F16" s="34"/>
      <c r="G16" s="119">
        <f>1000*G14/G13</f>
        <v>1749.912504374781</v>
      </c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2:17" ht="5.25" customHeight="1"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8"/>
    </row>
    <row r="18" spans="2:19" ht="18.75">
      <c r="B18" s="23"/>
      <c r="C18" s="29"/>
      <c r="D18" s="103" t="s">
        <v>59</v>
      </c>
      <c r="E18" s="139" t="s">
        <v>6</v>
      </c>
      <c r="F18" s="140"/>
      <c r="G18" s="84"/>
      <c r="H18" s="24"/>
      <c r="I18" s="24"/>
      <c r="J18" s="142" t="s">
        <v>44</v>
      </c>
      <c r="K18" s="142"/>
      <c r="L18" s="142"/>
      <c r="M18" s="24"/>
      <c r="N18" s="24"/>
      <c r="O18" s="24"/>
      <c r="P18" s="24"/>
      <c r="Q18" s="28"/>
      <c r="S18" s="135" t="s">
        <v>68</v>
      </c>
    </row>
    <row r="19" spans="2:17" ht="18.75">
      <c r="B19" s="23"/>
      <c r="C19" s="36" t="s">
        <v>7</v>
      </c>
      <c r="D19" s="29"/>
      <c r="E19" s="43" t="s">
        <v>4</v>
      </c>
      <c r="F19" s="44" t="s">
        <v>5</v>
      </c>
      <c r="G19" s="85" t="s">
        <v>8</v>
      </c>
      <c r="H19" s="24"/>
      <c r="I19" s="24"/>
      <c r="J19" s="115" t="s">
        <v>4</v>
      </c>
      <c r="K19" s="116" t="s">
        <v>5</v>
      </c>
      <c r="L19" s="24"/>
      <c r="M19" s="24"/>
      <c r="N19" s="24"/>
      <c r="O19" s="24"/>
      <c r="P19" s="24"/>
      <c r="Q19" s="28"/>
    </row>
    <row r="20" spans="2:17" ht="2.25" customHeight="1">
      <c r="B20" s="23"/>
      <c r="C20" s="36"/>
      <c r="D20" s="29"/>
      <c r="E20" s="43"/>
      <c r="F20" s="44"/>
      <c r="G20" s="85"/>
      <c r="H20" s="24"/>
      <c r="I20" s="24"/>
      <c r="J20" s="24"/>
      <c r="K20" s="24"/>
      <c r="L20" s="24"/>
      <c r="M20" s="24"/>
      <c r="N20" s="24"/>
      <c r="O20" s="24"/>
      <c r="P20" s="24"/>
      <c r="Q20" s="28"/>
    </row>
    <row r="21" spans="2:17" ht="18.75">
      <c r="B21" s="23"/>
      <c r="C21" s="29">
        <v>2021</v>
      </c>
      <c r="D21" s="29"/>
      <c r="E21" s="45">
        <f>$G$13*'Tarifpreise bis 2022'!M15+$G$14*'Tarifpreise bis 2022'!$M$18</f>
        <v>3571.0902678</v>
      </c>
      <c r="F21" s="46">
        <f>+'Tarifpreise bis 2022'!$I$6+(($G$13-20)*'Tarifpreise bis 2022'!$I$7)+($G$14*'Tarifpreise bis 2022'!$I$8)+($G$14*'Tarifpreise bis 2022'!M29)</f>
        <v>3341.24834</v>
      </c>
      <c r="G21" s="86">
        <f>+E21-F21</f>
        <v>229.84192780000012</v>
      </c>
      <c r="H21" s="24"/>
      <c r="I21" s="24"/>
      <c r="J21" s="64">
        <f aca="true" t="shared" si="0" ref="J21:K23">+E21/$G$14/10</f>
        <v>10.203115050857143</v>
      </c>
      <c r="K21" s="64">
        <f t="shared" si="0"/>
        <v>9.54642382857143</v>
      </c>
      <c r="L21" s="65" t="s">
        <v>43</v>
      </c>
      <c r="M21" s="24"/>
      <c r="N21" s="24"/>
      <c r="O21" s="24"/>
      <c r="P21" s="24"/>
      <c r="Q21" s="28"/>
    </row>
    <row r="22" spans="2:17" ht="18.75">
      <c r="B22" s="23"/>
      <c r="C22" s="29">
        <v>2022</v>
      </c>
      <c r="D22" s="126">
        <f>+'Tarifpreise bis 2022'!$D$31</f>
        <v>0.07</v>
      </c>
      <c r="E22" s="45">
        <f>$G$13*'Tarifpreise bis 2022'!Q15+$G$14*'Tarifpreise bis 2022'!$Q$18</f>
        <v>3739.1346987</v>
      </c>
      <c r="F22" s="46">
        <f>+'Tarifpreise bis 2022'!$I$6+(($G$13-20)*'Tarifpreise bis 2022'!$I$7)+($G$14*'Tarifpreise bis 2022'!$I$8)+($G$14*'Tarifpreise bis 2022'!Q29)</f>
        <v>3348.36384</v>
      </c>
      <c r="G22" s="86">
        <f>+E22-F22</f>
        <v>390.7708587000002</v>
      </c>
      <c r="H22" s="24"/>
      <c r="I22" s="24"/>
      <c r="J22" s="64">
        <f t="shared" si="0"/>
        <v>10.683241996285714</v>
      </c>
      <c r="K22" s="64">
        <f t="shared" si="0"/>
        <v>9.566753828571429</v>
      </c>
      <c r="L22" s="65" t="s">
        <v>43</v>
      </c>
      <c r="M22" s="24"/>
      <c r="N22" s="24"/>
      <c r="O22" s="24"/>
      <c r="P22" s="24"/>
      <c r="Q22" s="28"/>
    </row>
    <row r="23" spans="2:17" ht="18.75">
      <c r="B23" s="23"/>
      <c r="C23" s="74" t="s">
        <v>50</v>
      </c>
      <c r="D23" s="126">
        <f>+'Tarifpreise ab 2023'!$D$31</f>
        <v>0.07</v>
      </c>
      <c r="E23" s="45">
        <f>$G$13*'Tarifpreise ab 2023'!U15+$G$14*'Tarifpreise ab 2023'!$U$18</f>
        <v>5616.987437899999</v>
      </c>
      <c r="F23" s="46">
        <f>+'Tarifpreise ab 2023'!$I$6+(($G$13-20)*'Tarifpreise ab 2023'!$I$7)+($G$14*'Tarifpreise ab 2023'!$I$8)+($G$14*'Tarifpreise ab 2023'!$U$29)</f>
        <v>3352.85784</v>
      </c>
      <c r="G23" s="86">
        <f>+E23-F23</f>
        <v>2264.129597899999</v>
      </c>
      <c r="H23" s="24"/>
      <c r="I23" s="24"/>
      <c r="J23" s="64">
        <f t="shared" si="0"/>
        <v>16.04853553685714</v>
      </c>
      <c r="K23" s="64">
        <f t="shared" si="0"/>
        <v>9.57959382857143</v>
      </c>
      <c r="L23" s="65" t="s">
        <v>43</v>
      </c>
      <c r="M23" s="24"/>
      <c r="N23" s="24"/>
      <c r="O23" s="24"/>
      <c r="P23" s="24"/>
      <c r="Q23" s="28"/>
    </row>
    <row r="24" spans="2:17" ht="6" customHeight="1" thickBot="1">
      <c r="B24" s="23"/>
      <c r="C24" s="24"/>
      <c r="D24" s="104"/>
      <c r="E24" s="82"/>
      <c r="F24" s="83"/>
      <c r="G24" s="87"/>
      <c r="H24" s="24"/>
      <c r="I24" s="24"/>
      <c r="J24" s="24"/>
      <c r="K24" s="24"/>
      <c r="L24" s="24"/>
      <c r="M24" s="24"/>
      <c r="N24" s="24"/>
      <c r="O24" s="24"/>
      <c r="P24" s="24"/>
      <c r="Q24" s="28"/>
    </row>
    <row r="25" spans="2:17" ht="20.25" customHeight="1" thickBot="1">
      <c r="B25" s="23"/>
      <c r="C25" s="110" t="s">
        <v>51</v>
      </c>
      <c r="D25" s="111">
        <f>+'Tarifpreise ab 2023'!$D$31</f>
        <v>0.07</v>
      </c>
      <c r="E25" s="112">
        <f>+($G$13*'Tarifpreise ab 2023'!$U$15)+($G$14*'Tarifpreise ab 2023'!$U18)*0.2+($G$14*'Tarifpreise ab 2023'!$U19)*0.8</f>
        <v>5037.412637900001</v>
      </c>
      <c r="F25" s="113">
        <f>+'Tarifpreise ab 2023'!$I$6+(($G$13-20)*'Tarifpreise ab 2023'!$I$7)+($G$14*'Tarifpreise ab 2023'!$I$8)+($G$14*'Tarifpreise ab 2023'!$U$29)</f>
        <v>3352.85784</v>
      </c>
      <c r="G25" s="114">
        <f>+E25-F25</f>
        <v>1684.5547979000007</v>
      </c>
      <c r="H25" s="24"/>
      <c r="I25" s="24"/>
      <c r="J25" s="64">
        <f>+E25/$G$14/10</f>
        <v>14.392607536857145</v>
      </c>
      <c r="K25" s="64">
        <f>+F25/$G$14/10</f>
        <v>9.57959382857143</v>
      </c>
      <c r="L25" s="24"/>
      <c r="M25" s="24"/>
      <c r="N25" s="24"/>
      <c r="O25" s="24"/>
      <c r="P25" s="24"/>
      <c r="Q25" s="28"/>
    </row>
    <row r="26" spans="2:17" ht="6.75" customHeight="1" thickTop="1">
      <c r="B26" s="23"/>
      <c r="C26" s="29"/>
      <c r="D26" s="24"/>
      <c r="E26" s="82"/>
      <c r="F26" s="83"/>
      <c r="G26" s="87"/>
      <c r="H26" s="24"/>
      <c r="I26" s="24"/>
      <c r="J26" s="24"/>
      <c r="K26" s="24"/>
      <c r="L26" s="24"/>
      <c r="M26" s="24"/>
      <c r="N26" s="24"/>
      <c r="O26" s="24"/>
      <c r="P26" s="24"/>
      <c r="Q26" s="28"/>
    </row>
    <row r="27" spans="2:17" ht="20.25" customHeight="1">
      <c r="B27" s="23"/>
      <c r="C27" s="81" t="s">
        <v>56</v>
      </c>
      <c r="D27" s="24"/>
      <c r="E27" s="47">
        <f>+E25/11</f>
        <v>457.9466034454546</v>
      </c>
      <c r="F27" s="48">
        <f>+F25/11</f>
        <v>304.8052581818182</v>
      </c>
      <c r="G27" s="88">
        <f>+E27-F27</f>
        <v>153.14134526363642</v>
      </c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2:17" ht="6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2:17" ht="18.75">
      <c r="B29" s="23"/>
      <c r="C29" s="41" t="s">
        <v>62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20"/>
    </row>
    <row r="30" spans="2:17" ht="18.75">
      <c r="B30" s="23"/>
      <c r="C30" s="41" t="s">
        <v>63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20"/>
    </row>
    <row r="31" spans="2:17" ht="15.75">
      <c r="B31" s="23"/>
      <c r="C31" s="41" t="s">
        <v>60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20"/>
    </row>
    <row r="32" spans="2:17" ht="15.75">
      <c r="B32" s="23"/>
      <c r="C32" s="41" t="s">
        <v>61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120"/>
    </row>
    <row r="33" spans="2:17" ht="5.25" customHeight="1">
      <c r="B33" s="2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20"/>
    </row>
    <row r="34" spans="2:18" ht="15.75">
      <c r="B34" s="23"/>
      <c r="C34" s="121" t="s">
        <v>73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5"/>
    </row>
    <row r="35" spans="2:17" ht="5.25" customHeight="1" thickBo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ht="5.25" customHeight="1"/>
    <row r="37" spans="3:7" ht="15">
      <c r="C37" t="s">
        <v>47</v>
      </c>
      <c r="D37" t="s">
        <v>45</v>
      </c>
      <c r="F37" t="s">
        <v>48</v>
      </c>
      <c r="G37" t="s">
        <v>46</v>
      </c>
    </row>
    <row r="39" spans="3:6" ht="15">
      <c r="C39" t="s">
        <v>70</v>
      </c>
      <c r="F39" t="s">
        <v>75</v>
      </c>
    </row>
  </sheetData>
  <sheetProtection/>
  <mergeCells count="4">
    <mergeCell ref="E18:F18"/>
    <mergeCell ref="B2:Q2"/>
    <mergeCell ref="B3:Q3"/>
    <mergeCell ref="J18:L18"/>
  </mergeCells>
  <conditionalFormatting sqref="G21">
    <cfRule type="cellIs" priority="7" dxfId="20" operator="greaterThan" stopIfTrue="1">
      <formula>0</formula>
    </cfRule>
  </conditionalFormatting>
  <conditionalFormatting sqref="G22">
    <cfRule type="cellIs" priority="4" dxfId="20" operator="greaterThan" stopIfTrue="1">
      <formula>0</formula>
    </cfRule>
  </conditionalFormatting>
  <conditionalFormatting sqref="G23">
    <cfRule type="cellIs" priority="3" dxfId="20" operator="greaterThan" stopIfTrue="1">
      <formula>0</formula>
    </cfRule>
  </conditionalFormatting>
  <conditionalFormatting sqref="G25">
    <cfRule type="cellIs" priority="2" dxfId="20" operator="greaterThan" stopIfTrue="1">
      <formula>0</formula>
    </cfRule>
  </conditionalFormatting>
  <conditionalFormatting sqref="G27">
    <cfRule type="cellIs" priority="1" dxfId="20" operator="greaterThan" stopIfTrue="1">
      <formula>0</formula>
    </cfRule>
  </conditionalFormatting>
  <dataValidations count="1">
    <dataValidation type="decimal" allowBlank="1" showInputMessage="1" showErrorMessage="1" errorTitle="Bis 100kW" error="Bitte nur bis 100 kW eingeben, sonst anderes Tabellenblatt benutzen" sqref="G13">
      <formula1>20.001</formula1>
      <formula2>50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F39" sqref="F39"/>
    </sheetView>
  </sheetViews>
  <sheetFormatPr defaultColWidth="11.421875" defaultRowHeight="15"/>
  <cols>
    <col min="1" max="1" width="1.7109375" style="0" customWidth="1"/>
    <col min="2" max="2" width="2.140625" style="0" customWidth="1"/>
    <col min="3" max="3" width="27.7109375" style="0" customWidth="1"/>
    <col min="4" max="4" width="7.57421875" style="0" customWidth="1"/>
    <col min="5" max="5" width="15.57421875" style="0" customWidth="1"/>
    <col min="6" max="7" width="15.421875" style="0" customWidth="1"/>
    <col min="8" max="8" width="5.421875" style="0" customWidth="1"/>
    <col min="9" max="9" width="1.8515625" style="0" customWidth="1"/>
    <col min="10" max="12" width="9.7109375" style="0" customWidth="1"/>
    <col min="13" max="13" width="12.00390625" style="0" customWidth="1"/>
    <col min="14" max="14" width="12.140625" style="0" customWidth="1"/>
    <col min="15" max="15" width="12.00390625" style="0" customWidth="1"/>
    <col min="16" max="16" width="10.140625" style="0" customWidth="1"/>
    <col min="17" max="17" width="18.28125" style="0" customWidth="1"/>
  </cols>
  <sheetData>
    <row r="1" ht="4.5" customHeight="1"/>
    <row r="2" spans="2:17" ht="19.5" customHeight="1">
      <c r="B2" s="143" t="s">
        <v>52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2:17" ht="19.5" customHeight="1">
      <c r="B3" s="141" t="s">
        <v>74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ht="4.5" customHeight="1" thickBot="1"/>
    <row r="5" spans="2:17" ht="7.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2:17" ht="21">
      <c r="B6" s="23"/>
      <c r="C6" s="25" t="s">
        <v>0</v>
      </c>
      <c r="D6" s="26"/>
      <c r="E6" s="26"/>
      <c r="F6" s="60" t="s">
        <v>28</v>
      </c>
      <c r="G6" s="59"/>
      <c r="H6" s="27"/>
      <c r="I6" s="27"/>
      <c r="J6" s="2"/>
      <c r="K6" s="2"/>
      <c r="L6" s="2"/>
      <c r="M6" s="2"/>
      <c r="N6" s="2"/>
      <c r="O6" s="2"/>
      <c r="P6" s="128">
        <v>44910</v>
      </c>
      <c r="Q6" s="138" t="str">
        <f>+'Kundendaten bis 20 kW'!Q6</f>
        <v>UP R4+</v>
      </c>
    </row>
    <row r="7" spans="2:17" ht="9" customHeight="1">
      <c r="B7" s="23"/>
      <c r="C7" s="29"/>
      <c r="D7" s="29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8"/>
    </row>
    <row r="8" spans="2:17" ht="18.75">
      <c r="B8" s="23"/>
      <c r="C8" s="29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8"/>
    </row>
    <row r="9" spans="2:17" ht="18.75">
      <c r="B9" s="23"/>
      <c r="C9" s="129" t="s">
        <v>29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4"/>
      <c r="O9" s="24"/>
      <c r="P9" s="24"/>
      <c r="Q9" s="28"/>
    </row>
    <row r="10" spans="2:17" ht="6.7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8"/>
    </row>
    <row r="11" spans="2:17" ht="18.75">
      <c r="B11" s="23"/>
      <c r="C11" s="30" t="s">
        <v>22</v>
      </c>
      <c r="D11" s="31"/>
      <c r="E11" s="31"/>
      <c r="F11" s="31"/>
      <c r="G11" s="31"/>
      <c r="H11" s="24"/>
      <c r="I11" s="24"/>
      <c r="J11" s="24"/>
      <c r="K11" s="24"/>
      <c r="L11" s="24"/>
      <c r="M11" s="24"/>
      <c r="N11" s="24"/>
      <c r="O11" s="24"/>
      <c r="P11" s="24"/>
      <c r="Q11" s="28"/>
    </row>
    <row r="12" spans="2:17" ht="6" customHeight="1">
      <c r="B12" s="23"/>
      <c r="C12" s="3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8"/>
    </row>
    <row r="13" spans="2:17" ht="18.75">
      <c r="B13" s="23"/>
      <c r="C13" s="29" t="s">
        <v>1</v>
      </c>
      <c r="D13" s="41"/>
      <c r="E13" s="41"/>
      <c r="F13" s="41"/>
      <c r="G13" s="33">
        <v>59.41</v>
      </c>
      <c r="H13" s="24" t="s">
        <v>2</v>
      </c>
      <c r="I13" s="24"/>
      <c r="J13" s="24"/>
      <c r="K13" s="24"/>
      <c r="L13" s="24"/>
      <c r="M13" s="24"/>
      <c r="N13" s="24"/>
      <c r="O13" s="24"/>
      <c r="P13" s="24"/>
      <c r="Q13" s="28"/>
    </row>
    <row r="14" spans="2:17" ht="18.75">
      <c r="B14" s="23"/>
      <c r="C14" s="29" t="s">
        <v>40</v>
      </c>
      <c r="D14" s="41"/>
      <c r="E14" s="41"/>
      <c r="F14" s="41"/>
      <c r="G14" s="33">
        <v>92.8</v>
      </c>
      <c r="H14" s="24" t="s">
        <v>3</v>
      </c>
      <c r="I14" s="24"/>
      <c r="J14" s="24"/>
      <c r="K14" s="24"/>
      <c r="L14" s="24"/>
      <c r="M14" s="24"/>
      <c r="N14" s="24"/>
      <c r="O14" s="24"/>
      <c r="P14" s="24"/>
      <c r="Q14" s="28"/>
    </row>
    <row r="15" spans="2:17" ht="8.25" customHeight="1">
      <c r="B15" s="23"/>
      <c r="C15" s="36"/>
      <c r="D15" s="29"/>
      <c r="E15" s="29"/>
      <c r="F15" s="29"/>
      <c r="G15" s="29"/>
      <c r="H15" s="24"/>
      <c r="I15" s="24"/>
      <c r="J15" s="24"/>
      <c r="K15" s="24"/>
      <c r="L15" s="24"/>
      <c r="M15" s="24"/>
      <c r="N15" s="24"/>
      <c r="O15" s="24"/>
      <c r="P15" s="24"/>
      <c r="Q15" s="28"/>
    </row>
    <row r="16" spans="2:17" ht="15">
      <c r="B16" s="23"/>
      <c r="C16" s="103" t="s">
        <v>19</v>
      </c>
      <c r="D16" s="34"/>
      <c r="E16" s="34"/>
      <c r="F16" s="34"/>
      <c r="G16" s="119">
        <f>1000*G14/G13</f>
        <v>1562.026594849352</v>
      </c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2:17" ht="5.25" customHeight="1">
      <c r="B17" s="23"/>
      <c r="C17" s="34"/>
      <c r="D17" s="34"/>
      <c r="E17" s="34"/>
      <c r="F17" s="34"/>
      <c r="G17" s="35"/>
      <c r="H17" s="24"/>
      <c r="I17" s="24"/>
      <c r="J17" s="24"/>
      <c r="K17" s="24"/>
      <c r="L17" s="24"/>
      <c r="M17" s="24"/>
      <c r="N17" s="24"/>
      <c r="O17" s="24"/>
      <c r="P17" s="24"/>
      <c r="Q17" s="28"/>
    </row>
    <row r="18" spans="2:17" ht="18.75">
      <c r="B18" s="23"/>
      <c r="C18" s="29"/>
      <c r="D18" s="103" t="s">
        <v>59</v>
      </c>
      <c r="E18" s="139" t="s">
        <v>6</v>
      </c>
      <c r="F18" s="140"/>
      <c r="G18" s="97"/>
      <c r="H18" s="24"/>
      <c r="I18" s="24"/>
      <c r="J18" s="142" t="s">
        <v>44</v>
      </c>
      <c r="K18" s="142"/>
      <c r="L18" s="142"/>
      <c r="M18" s="24"/>
      <c r="N18" s="24"/>
      <c r="O18" s="24"/>
      <c r="P18" s="24"/>
      <c r="Q18" s="28"/>
    </row>
    <row r="19" spans="2:17" ht="18.75">
      <c r="B19" s="23"/>
      <c r="C19" s="36" t="s">
        <v>7</v>
      </c>
      <c r="D19" s="29"/>
      <c r="E19" s="43" t="s">
        <v>4</v>
      </c>
      <c r="F19" s="44" t="s">
        <v>5</v>
      </c>
      <c r="G19" s="98" t="s">
        <v>8</v>
      </c>
      <c r="H19" s="24"/>
      <c r="I19" s="24"/>
      <c r="J19" s="115" t="s">
        <v>4</v>
      </c>
      <c r="K19" s="116" t="s">
        <v>5</v>
      </c>
      <c r="L19" s="24"/>
      <c r="M19" s="24"/>
      <c r="N19" s="24"/>
      <c r="O19" s="24"/>
      <c r="P19" s="24"/>
      <c r="Q19" s="28"/>
    </row>
    <row r="20" spans="2:17" ht="2.25" customHeight="1">
      <c r="B20" s="23"/>
      <c r="C20" s="36"/>
      <c r="D20" s="29"/>
      <c r="E20" s="43"/>
      <c r="F20" s="44"/>
      <c r="G20" s="98"/>
      <c r="H20" s="24"/>
      <c r="I20" s="24"/>
      <c r="J20" s="24"/>
      <c r="K20" s="24"/>
      <c r="L20" s="24"/>
      <c r="M20" s="24"/>
      <c r="N20" s="24"/>
      <c r="O20" s="24"/>
      <c r="P20" s="24"/>
      <c r="Q20" s="28"/>
    </row>
    <row r="21" spans="2:17" ht="18.75">
      <c r="B21" s="23"/>
      <c r="C21" s="29">
        <v>2021</v>
      </c>
      <c r="D21" s="29"/>
      <c r="E21" s="45">
        <f>(50*'Tarifpreise bis 2022'!M15)+(($G$13-50)*'Tarifpreise bis 2022'!M16)+($G$14*'Tarifpreise bis 2022'!$M$18)</f>
        <v>9800.893659000001</v>
      </c>
      <c r="F21" s="46">
        <f>+'Tarifpreise bis 2022'!$I$6+($G$13-20)*'Tarifpreise bis 2022'!$I$7+$G$14*'Tarifpreise bis 2022'!$I$8+($G$14*'Tarifpreise bis 2022'!M29)</f>
        <v>9153.028240000001</v>
      </c>
      <c r="G21" s="90">
        <f>+E21-F21</f>
        <v>647.8654189999997</v>
      </c>
      <c r="H21" s="24"/>
      <c r="I21" s="24"/>
      <c r="J21" s="66">
        <f aca="true" t="shared" si="0" ref="J21:K23">+E21/$G$14/10</f>
        <v>10.561307822198277</v>
      </c>
      <c r="K21" s="66">
        <f t="shared" si="0"/>
        <v>9.863176982758622</v>
      </c>
      <c r="L21" s="67" t="s">
        <v>43</v>
      </c>
      <c r="M21" s="24"/>
      <c r="N21" s="24"/>
      <c r="O21" s="24"/>
      <c r="P21" s="24"/>
      <c r="Q21" s="28"/>
    </row>
    <row r="22" spans="2:17" ht="18.75">
      <c r="B22" s="23"/>
      <c r="C22" s="29">
        <v>2022</v>
      </c>
      <c r="D22" s="109">
        <f>+'Tarifpreise bis 2022'!$D$31</f>
        <v>0.07</v>
      </c>
      <c r="E22" s="45">
        <f>(50*'Tarifpreise bis 2022'!Q15)+(($G$13-50)*'Tarifpreise bis 2022'!Q16)+($G$14*'Tarifpreise bis 2022'!$Q$18)</f>
        <v>10250.778476</v>
      </c>
      <c r="F22" s="46">
        <f>+'Tarifpreise bis 2022'!$I$6+($G$13-20)*'Tarifpreise bis 2022'!$I$7+$G$14*'Tarifpreise bis 2022'!$I$8+($G$14*'Tarifpreise bis 2022'!Q29)</f>
        <v>9171.89448</v>
      </c>
      <c r="G22" s="90">
        <f>+E22-F22</f>
        <v>1078.8839959999987</v>
      </c>
      <c r="H22" s="24"/>
      <c r="I22" s="24"/>
      <c r="J22" s="66">
        <f t="shared" si="0"/>
        <v>11.046097495689654</v>
      </c>
      <c r="K22" s="66">
        <f t="shared" si="0"/>
        <v>9.883506982758622</v>
      </c>
      <c r="L22" s="67" t="s">
        <v>43</v>
      </c>
      <c r="M22" s="24"/>
      <c r="N22" s="24"/>
      <c r="O22" s="24"/>
      <c r="P22" s="24"/>
      <c r="Q22" s="28"/>
    </row>
    <row r="23" spans="2:17" ht="18.75">
      <c r="B23" s="23"/>
      <c r="C23" s="74" t="s">
        <v>50</v>
      </c>
      <c r="D23" s="109">
        <f>+'Tarifpreise ab 2023'!$D$31</f>
        <v>0.07</v>
      </c>
      <c r="E23" s="45">
        <f>(50*'Tarifpreise ab 2023'!U15)+(($G$13-50)*'Tarifpreise ab 2023'!U16)+($G$14*'Tarifpreise ab 2023'!$U$18)</f>
        <v>15242.410651999999</v>
      </c>
      <c r="F23" s="46">
        <f>+('Tarifpreise ab 2023'!$I$6)+(($G$13-20)*'Tarifpreise ab 2023'!$I$7)+($G$14*'Tarifpreise ab 2023'!$I$8)+($G$14*'Tarifpreise ab 2023'!$U$29)</f>
        <v>9183.810000000001</v>
      </c>
      <c r="G23" s="90">
        <f>+E23-F23</f>
        <v>6058.600651999997</v>
      </c>
      <c r="H23" s="24"/>
      <c r="I23" s="24"/>
      <c r="J23" s="66">
        <f t="shared" si="0"/>
        <v>16.425011478448276</v>
      </c>
      <c r="K23" s="66">
        <f t="shared" si="0"/>
        <v>9.896346982758622</v>
      </c>
      <c r="L23" s="67" t="s">
        <v>43</v>
      </c>
      <c r="M23" s="24"/>
      <c r="N23" s="24"/>
      <c r="O23" s="24"/>
      <c r="P23" s="24"/>
      <c r="Q23" s="28"/>
    </row>
    <row r="24" spans="2:17" ht="6.75" customHeight="1" thickBot="1">
      <c r="B24" s="23"/>
      <c r="C24" s="29"/>
      <c r="D24" s="104"/>
      <c r="E24" s="45"/>
      <c r="F24" s="92"/>
      <c r="G24" s="90"/>
      <c r="H24" s="24"/>
      <c r="I24" s="24"/>
      <c r="J24" s="24"/>
      <c r="K24" s="24"/>
      <c r="L24" s="24"/>
      <c r="M24" s="24"/>
      <c r="N24" s="24"/>
      <c r="O24" s="24"/>
      <c r="P24" s="24"/>
      <c r="Q24" s="28"/>
    </row>
    <row r="25" spans="2:17" ht="20.25" customHeight="1" thickBot="1">
      <c r="B25" s="23"/>
      <c r="C25" s="100" t="s">
        <v>51</v>
      </c>
      <c r="D25" s="111">
        <f>+'Tarifpreise ab 2023'!$D$31</f>
        <v>0.07</v>
      </c>
      <c r="E25" s="101">
        <f>(50*'Tarifpreise ab 2023'!U15)+(($G$13-50)*'Tarifpreise ab 2023'!U16)+($G$14*'Tarifpreise ab 2023'!$U$18)*0.2+($G$14*'Tarifpreise ab 2023'!$U$19)*0.8</f>
        <v>13705.709468000001</v>
      </c>
      <c r="F25" s="99">
        <f>+('Tarifpreise ab 2023'!$I$6)+(($G$13-20)*'Tarifpreise ab 2023'!$I$7)+($G$14*'Tarifpreise ab 2023'!$I$8)+($G$14*'Tarifpreise ab 2023'!$U$29)</f>
        <v>9183.810000000001</v>
      </c>
      <c r="G25" s="102">
        <f>+E25-F25</f>
        <v>4521.899468</v>
      </c>
      <c r="H25" s="24"/>
      <c r="I25" s="24"/>
      <c r="J25" s="66">
        <f>+E25/$G$14/10</f>
        <v>14.769083478448277</v>
      </c>
      <c r="K25" s="66">
        <f>+F25/$G$14/10</f>
        <v>9.896346982758622</v>
      </c>
      <c r="L25" s="24"/>
      <c r="M25" s="24"/>
      <c r="N25" s="24"/>
      <c r="O25" s="24"/>
      <c r="P25" s="24"/>
      <c r="Q25" s="28"/>
    </row>
    <row r="26" spans="2:17" ht="6.75" customHeight="1">
      <c r="B26" s="23"/>
      <c r="C26" s="29"/>
      <c r="D26" s="24"/>
      <c r="E26" s="82"/>
      <c r="F26" s="83"/>
      <c r="G26" s="83"/>
      <c r="H26" s="24"/>
      <c r="I26" s="24"/>
      <c r="J26" s="24"/>
      <c r="K26" s="24"/>
      <c r="L26" s="24"/>
      <c r="M26" s="24"/>
      <c r="N26" s="24"/>
      <c r="O26" s="24"/>
      <c r="P26" s="24"/>
      <c r="Q26" s="28"/>
    </row>
    <row r="27" spans="2:17" ht="20.25" customHeight="1">
      <c r="B27" s="23"/>
      <c r="C27" s="81" t="s">
        <v>56</v>
      </c>
      <c r="D27" s="24"/>
      <c r="E27" s="47">
        <f>+E25/11</f>
        <v>1245.973588</v>
      </c>
      <c r="F27" s="48">
        <f>+F25/11</f>
        <v>834.8918181818183</v>
      </c>
      <c r="G27" s="91">
        <f>+E27-F27</f>
        <v>411.0817698181818</v>
      </c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2:17" ht="6.75" customHeight="1">
      <c r="B28" s="23"/>
      <c r="C28" s="29"/>
      <c r="D28" s="29"/>
      <c r="E28" s="37"/>
      <c r="F28" s="62"/>
      <c r="G28" s="37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2:17" ht="18.75">
      <c r="B29" s="23"/>
      <c r="C29" s="41" t="s">
        <v>62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20"/>
    </row>
    <row r="30" spans="2:17" ht="18.75">
      <c r="B30" s="23"/>
      <c r="C30" s="41" t="s">
        <v>63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20"/>
    </row>
    <row r="31" spans="2:17" ht="15.75">
      <c r="B31" s="23"/>
      <c r="C31" s="41" t="s">
        <v>60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20"/>
    </row>
    <row r="32" spans="2:17" ht="15.75">
      <c r="B32" s="23"/>
      <c r="C32" s="41" t="s">
        <v>61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120"/>
    </row>
    <row r="33" spans="2:17" ht="5.25" customHeight="1">
      <c r="B33" s="2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20"/>
    </row>
    <row r="34" spans="2:17" ht="15.75">
      <c r="B34" s="23"/>
      <c r="C34" s="121" t="s">
        <v>73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</row>
    <row r="35" spans="2:17" ht="6" customHeight="1" thickBot="1">
      <c r="B35" s="38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</row>
    <row r="36" ht="5.25" customHeight="1"/>
    <row r="37" spans="3:7" ht="15">
      <c r="C37" t="s">
        <v>47</v>
      </c>
      <c r="D37" t="s">
        <v>45</v>
      </c>
      <c r="F37" t="s">
        <v>48</v>
      </c>
      <c r="G37" t="s">
        <v>46</v>
      </c>
    </row>
    <row r="39" spans="3:6" ht="15">
      <c r="C39" t="s">
        <v>70</v>
      </c>
      <c r="F39" t="s">
        <v>75</v>
      </c>
    </row>
  </sheetData>
  <sheetProtection/>
  <mergeCells count="4">
    <mergeCell ref="E18:F18"/>
    <mergeCell ref="B2:Q2"/>
    <mergeCell ref="B3:Q3"/>
    <mergeCell ref="J18:L18"/>
  </mergeCells>
  <conditionalFormatting sqref="G21">
    <cfRule type="cellIs" priority="7" dxfId="20" operator="greaterThan" stopIfTrue="1">
      <formula>0</formula>
    </cfRule>
  </conditionalFormatting>
  <conditionalFormatting sqref="G24 G28">
    <cfRule type="cellIs" priority="6" dxfId="20" operator="greaterThan" stopIfTrue="1">
      <formula>0</formula>
    </cfRule>
  </conditionalFormatting>
  <conditionalFormatting sqref="G22">
    <cfRule type="cellIs" priority="4" dxfId="20" operator="greaterThan" stopIfTrue="1">
      <formula>0</formula>
    </cfRule>
  </conditionalFormatting>
  <conditionalFormatting sqref="G23">
    <cfRule type="cellIs" priority="3" dxfId="20" operator="greaterThan" stopIfTrue="1">
      <formula>0</formula>
    </cfRule>
  </conditionalFormatting>
  <conditionalFormatting sqref="G25">
    <cfRule type="cellIs" priority="2" dxfId="20" operator="greaterThan" stopIfTrue="1">
      <formula>0</formula>
    </cfRule>
  </conditionalFormatting>
  <conditionalFormatting sqref="G27">
    <cfRule type="cellIs" priority="1" dxfId="20" operator="greaterThan" stopIfTrue="1">
      <formula>0</formula>
    </cfRule>
  </conditionalFormatting>
  <dataValidations count="1">
    <dataValidation type="decimal" allowBlank="1" showInputMessage="1" showErrorMessage="1" errorTitle="Bis 100kW" error="Bitte nur von 50,001 bis 100 kW eingeben, sonst anderes Tabellenblatt benutzen." sqref="G13">
      <formula1>50.001</formula1>
      <formula2>100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9"/>
  <sheetViews>
    <sheetView zoomScalePageLayoutView="0" workbookViewId="0" topLeftCell="A1">
      <selection activeCell="F39" sqref="F39"/>
    </sheetView>
  </sheetViews>
  <sheetFormatPr defaultColWidth="11.421875" defaultRowHeight="15"/>
  <cols>
    <col min="1" max="1" width="1.8515625" style="0" customWidth="1"/>
    <col min="2" max="2" width="2.140625" style="0" customWidth="1"/>
    <col min="3" max="3" width="28.140625" style="0" customWidth="1"/>
    <col min="4" max="4" width="7.140625" style="0" customWidth="1"/>
    <col min="5" max="5" width="15.57421875" style="0" customWidth="1"/>
    <col min="6" max="6" width="15.421875" style="0" customWidth="1"/>
    <col min="7" max="7" width="15.00390625" style="0" customWidth="1"/>
    <col min="8" max="8" width="5.421875" style="0" customWidth="1"/>
    <col min="9" max="9" width="2.00390625" style="0" customWidth="1"/>
    <col min="10" max="13" width="9.7109375" style="0" customWidth="1"/>
    <col min="14" max="14" width="12.00390625" style="0" customWidth="1"/>
    <col min="15" max="15" width="12.140625" style="0" customWidth="1"/>
    <col min="16" max="16" width="12.00390625" style="0" customWidth="1"/>
    <col min="17" max="17" width="19.28125" style="0" customWidth="1"/>
  </cols>
  <sheetData>
    <row r="1" ht="4.5" customHeight="1"/>
    <row r="2" spans="2:17" ht="19.5" customHeight="1">
      <c r="B2" s="143" t="s">
        <v>52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</row>
    <row r="3" spans="2:17" ht="19.5" customHeight="1">
      <c r="B3" s="141" t="s">
        <v>74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</row>
    <row r="4" ht="6" customHeight="1" thickBot="1"/>
    <row r="5" spans="2:17" ht="6.7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</row>
    <row r="6" spans="2:17" ht="21">
      <c r="B6" s="23"/>
      <c r="C6" s="25" t="s">
        <v>0</v>
      </c>
      <c r="D6" s="26"/>
      <c r="E6" s="26"/>
      <c r="F6" s="60" t="s">
        <v>31</v>
      </c>
      <c r="G6" s="59"/>
      <c r="H6" s="27"/>
      <c r="I6" s="27"/>
      <c r="J6" s="2"/>
      <c r="K6" s="2"/>
      <c r="L6" s="2"/>
      <c r="M6" s="2"/>
      <c r="N6" s="2"/>
      <c r="O6" s="2"/>
      <c r="P6" s="128">
        <v>44910</v>
      </c>
      <c r="Q6" s="138" t="str">
        <f>+'Kundendaten bis 20 kW'!Q6</f>
        <v>UP R4+</v>
      </c>
    </row>
    <row r="7" spans="2:17" ht="6.75" customHeight="1">
      <c r="B7" s="23"/>
      <c r="C7" s="29"/>
      <c r="D7" s="29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8"/>
    </row>
    <row r="8" spans="2:17" ht="18.75">
      <c r="B8" s="23"/>
      <c r="C8" s="29" t="s">
        <v>30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8"/>
    </row>
    <row r="9" spans="2:17" ht="18.75">
      <c r="B9" s="23"/>
      <c r="C9" s="129" t="s">
        <v>29</v>
      </c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24"/>
      <c r="O9" s="24"/>
      <c r="P9" s="24"/>
      <c r="Q9" s="28"/>
    </row>
    <row r="10" spans="2:17" ht="6.75" customHeight="1"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8"/>
    </row>
    <row r="11" spans="2:17" ht="18.75">
      <c r="B11" s="23"/>
      <c r="C11" s="30" t="s">
        <v>22</v>
      </c>
      <c r="D11" s="31"/>
      <c r="E11" s="31"/>
      <c r="F11" s="31"/>
      <c r="G11" s="31"/>
      <c r="H11" s="24"/>
      <c r="I11" s="24"/>
      <c r="J11" s="24"/>
      <c r="K11" s="24"/>
      <c r="L11" s="24"/>
      <c r="M11" s="24"/>
      <c r="N11" s="24"/>
      <c r="O11" s="24"/>
      <c r="P11" s="24"/>
      <c r="Q11" s="28"/>
    </row>
    <row r="12" spans="2:17" ht="7.5" customHeight="1">
      <c r="B12" s="23"/>
      <c r="C12" s="32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8"/>
    </row>
    <row r="13" spans="2:17" ht="18.75">
      <c r="B13" s="23"/>
      <c r="C13" s="29" t="s">
        <v>1</v>
      </c>
      <c r="D13" s="41"/>
      <c r="E13" s="41"/>
      <c r="F13" s="41"/>
      <c r="G13" s="33">
        <v>100.001</v>
      </c>
      <c r="H13" s="24" t="s">
        <v>2</v>
      </c>
      <c r="I13" s="24"/>
      <c r="J13" s="24"/>
      <c r="K13" s="24"/>
      <c r="L13" s="24"/>
      <c r="M13" s="24"/>
      <c r="N13" s="24"/>
      <c r="O13" s="24"/>
      <c r="P13" s="24"/>
      <c r="Q13" s="28"/>
    </row>
    <row r="14" spans="2:17" ht="18.75">
      <c r="B14" s="23"/>
      <c r="C14" s="29" t="s">
        <v>40</v>
      </c>
      <c r="D14" s="41"/>
      <c r="E14" s="41"/>
      <c r="F14" s="41"/>
      <c r="G14" s="33">
        <v>200</v>
      </c>
      <c r="H14" s="24" t="s">
        <v>3</v>
      </c>
      <c r="I14" s="24"/>
      <c r="J14" s="24"/>
      <c r="K14" s="24"/>
      <c r="L14" s="24"/>
      <c r="M14" s="24"/>
      <c r="N14" s="24"/>
      <c r="O14" s="24"/>
      <c r="P14" s="24"/>
      <c r="Q14" s="28"/>
    </row>
    <row r="15" spans="2:17" ht="5.25" customHeight="1">
      <c r="B15" s="23"/>
      <c r="C15" s="36"/>
      <c r="D15" s="29"/>
      <c r="E15" s="29"/>
      <c r="F15" s="29"/>
      <c r="G15" s="29"/>
      <c r="H15" s="24"/>
      <c r="I15" s="24"/>
      <c r="J15" s="24"/>
      <c r="K15" s="24"/>
      <c r="L15" s="24"/>
      <c r="M15" s="24"/>
      <c r="N15" s="24"/>
      <c r="O15" s="24"/>
      <c r="P15" s="24"/>
      <c r="Q15" s="28"/>
    </row>
    <row r="16" spans="2:17" ht="15">
      <c r="B16" s="23"/>
      <c r="C16" s="107" t="s">
        <v>19</v>
      </c>
      <c r="D16" s="34"/>
      <c r="E16" s="34"/>
      <c r="F16" s="34"/>
      <c r="G16" s="119">
        <f>1000*G14/G13</f>
        <v>1999.980000199998</v>
      </c>
      <c r="H16" s="24"/>
      <c r="I16" s="24"/>
      <c r="J16" s="24"/>
      <c r="K16" s="24"/>
      <c r="L16" s="24"/>
      <c r="M16" s="24"/>
      <c r="N16" s="24"/>
      <c r="O16" s="24"/>
      <c r="P16" s="24"/>
      <c r="Q16" s="28"/>
    </row>
    <row r="17" spans="2:17" ht="5.25" customHeight="1">
      <c r="B17" s="23"/>
      <c r="C17" s="34"/>
      <c r="D17" s="34"/>
      <c r="E17" s="34"/>
      <c r="F17" s="34"/>
      <c r="G17" s="35"/>
      <c r="H17" s="24"/>
      <c r="I17" s="24"/>
      <c r="J17" s="24"/>
      <c r="K17" s="24"/>
      <c r="L17" s="24"/>
      <c r="M17" s="24"/>
      <c r="N17" s="24"/>
      <c r="O17" s="24"/>
      <c r="P17" s="24"/>
      <c r="Q17" s="28"/>
    </row>
    <row r="18" spans="2:17" ht="18.75">
      <c r="B18" s="23"/>
      <c r="C18" s="29"/>
      <c r="D18" s="103" t="s">
        <v>59</v>
      </c>
      <c r="E18" s="139" t="s">
        <v>6</v>
      </c>
      <c r="F18" s="140"/>
      <c r="G18" s="84"/>
      <c r="H18" s="24"/>
      <c r="I18" s="24"/>
      <c r="J18" s="142" t="s">
        <v>44</v>
      </c>
      <c r="K18" s="142"/>
      <c r="L18" s="142"/>
      <c r="M18" s="93"/>
      <c r="N18" s="24"/>
      <c r="O18" s="24"/>
      <c r="P18" s="24"/>
      <c r="Q18" s="28"/>
    </row>
    <row r="19" spans="2:17" ht="18.75">
      <c r="B19" s="23"/>
      <c r="C19" s="36" t="s">
        <v>7</v>
      </c>
      <c r="D19" s="29"/>
      <c r="E19" s="43" t="s">
        <v>4</v>
      </c>
      <c r="F19" s="44" t="s">
        <v>5</v>
      </c>
      <c r="G19" s="85" t="s">
        <v>8</v>
      </c>
      <c r="H19" s="24"/>
      <c r="I19" s="24"/>
      <c r="J19" s="117" t="s">
        <v>4</v>
      </c>
      <c r="K19" s="118" t="s">
        <v>5</v>
      </c>
      <c r="L19" s="41"/>
      <c r="M19" s="24"/>
      <c r="N19" s="24"/>
      <c r="O19" s="24"/>
      <c r="P19" s="24"/>
      <c r="Q19" s="28"/>
    </row>
    <row r="20" spans="2:17" ht="2.25" customHeight="1">
      <c r="B20" s="23"/>
      <c r="C20" s="36"/>
      <c r="D20" s="29"/>
      <c r="E20" s="43"/>
      <c r="F20" s="44"/>
      <c r="G20" s="85"/>
      <c r="H20" s="24"/>
      <c r="I20" s="24"/>
      <c r="J20" s="24"/>
      <c r="K20" s="24"/>
      <c r="L20" s="24"/>
      <c r="M20" s="24"/>
      <c r="N20" s="24"/>
      <c r="O20" s="24"/>
      <c r="P20" s="24"/>
      <c r="Q20" s="28"/>
    </row>
    <row r="21" spans="2:17" ht="18.75">
      <c r="B21" s="23"/>
      <c r="C21" s="29">
        <v>2021</v>
      </c>
      <c r="D21" s="29"/>
      <c r="E21" s="45">
        <f>50*'Tarifpreise bis 2022'!M15+50*'Tarifpreise bis 2022'!M16+($G$13-100)*'Tarifpreise bis 2022'!M17+($G$14*'Tarifpreise bis 2022'!$M$18)</f>
        <v>18690.278489300006</v>
      </c>
      <c r="F21" s="46">
        <f>+('Tarifpreise bis 2022'!$I$6)+(($G$13-20)*'Tarifpreise bis 2022'!$I$7)+($G$14*'Tarifpreise bis 2022'!$I$8)+(G14*'Tarifpreise bis 2022'!M29)</f>
        <v>19514.672840000003</v>
      </c>
      <c r="G21" s="86">
        <f>+E21-F21</f>
        <v>-824.3943506999967</v>
      </c>
      <c r="H21" s="24"/>
      <c r="I21" s="24"/>
      <c r="J21" s="64">
        <f aca="true" t="shared" si="0" ref="J21:K23">+E21/$G$14/10</f>
        <v>9.345139244650003</v>
      </c>
      <c r="K21" s="64">
        <f t="shared" si="0"/>
        <v>9.757336420000001</v>
      </c>
      <c r="L21" s="65" t="s">
        <v>43</v>
      </c>
      <c r="M21" s="63"/>
      <c r="N21" s="24"/>
      <c r="O21" s="24"/>
      <c r="P21" s="24"/>
      <c r="Q21" s="28"/>
    </row>
    <row r="22" spans="2:17" ht="18.75">
      <c r="B22" s="23"/>
      <c r="C22" s="29">
        <v>2022</v>
      </c>
      <c r="D22" s="126">
        <f>+'Tarifpreise bis 2022'!$D$31</f>
        <v>0.07</v>
      </c>
      <c r="E22" s="45">
        <f>(50*'Tarifpreise bis 2022'!Q15)+(50*'Tarifpreise bis 2022'!Q16)+(($G$13-100)*'Tarifpreise bis 2022'!Q17)+($G$14*'Tarifpreise bis 2022'!$Q$18)</f>
        <v>19628.6691741</v>
      </c>
      <c r="F22" s="46">
        <f>+('Tarifpreise bis 2022'!$I$6)+(($G$13-20)*'Tarifpreise bis 2022'!$I$7)+($G$14*'Tarifpreise bis 2022'!$I$8)+($G$14*'Tarifpreise bis 2022'!Q29)</f>
        <v>19555.332840000003</v>
      </c>
      <c r="G22" s="86">
        <f>+E22-F22</f>
        <v>73.33633409999675</v>
      </c>
      <c r="H22" s="24"/>
      <c r="I22" s="24"/>
      <c r="J22" s="64">
        <f t="shared" si="0"/>
        <v>9.81433458705</v>
      </c>
      <c r="K22" s="64">
        <f t="shared" si="0"/>
        <v>9.777666420000001</v>
      </c>
      <c r="L22" s="65" t="s">
        <v>43</v>
      </c>
      <c r="M22" s="63"/>
      <c r="N22" s="24"/>
      <c r="O22" s="24"/>
      <c r="P22" s="24"/>
      <c r="Q22" s="28"/>
    </row>
    <row r="23" spans="2:17" ht="18.75">
      <c r="B23" s="23"/>
      <c r="C23" s="74" t="s">
        <v>50</v>
      </c>
      <c r="D23" s="126">
        <f>+'Tarifpreise ab 2023'!$D$31</f>
        <v>0.07</v>
      </c>
      <c r="E23" s="45">
        <f>(50*'Tarifpreise ab 2023'!U15)+(50*'Tarifpreise ab 2023'!U16)+(($G$13-100)*'Tarifpreise ab 2023'!U17)+($G$14*'Tarifpreise ab 2023'!U18)</f>
        <v>30294.431207099995</v>
      </c>
      <c r="F23" s="46">
        <f>+('Tarifpreise ab 2023'!$I$6)+(($G$13-20)*'Tarifpreise ab 2023'!$I$7)+($G$14*'Tarifpreise ab 2023'!$I$8)+($G$14*'Tarifpreise ab 2023'!U29)</f>
        <v>19581.012840000003</v>
      </c>
      <c r="G23" s="86">
        <f>+E23-F23</f>
        <v>10713.418367099992</v>
      </c>
      <c r="H23" s="24"/>
      <c r="I23" s="24"/>
      <c r="J23" s="64">
        <f t="shared" si="0"/>
        <v>15.147215603549999</v>
      </c>
      <c r="K23" s="64">
        <f t="shared" si="0"/>
        <v>9.790506420000002</v>
      </c>
      <c r="L23" s="65" t="s">
        <v>43</v>
      </c>
      <c r="M23" s="24"/>
      <c r="N23" s="24"/>
      <c r="O23" s="24"/>
      <c r="P23" s="24"/>
      <c r="Q23" s="28"/>
    </row>
    <row r="24" spans="2:17" ht="11.25" customHeight="1" thickBot="1">
      <c r="B24" s="23"/>
      <c r="C24" s="24"/>
      <c r="D24" s="104"/>
      <c r="E24" s="82"/>
      <c r="F24" s="83"/>
      <c r="G24" s="87"/>
      <c r="H24" s="24"/>
      <c r="I24" s="24"/>
      <c r="J24" s="24"/>
      <c r="K24" s="24"/>
      <c r="L24" s="24"/>
      <c r="M24" s="24"/>
      <c r="N24" s="24"/>
      <c r="O24" s="24"/>
      <c r="P24" s="24"/>
      <c r="Q24" s="28"/>
    </row>
    <row r="25" spans="2:17" ht="17.25" customHeight="1" thickBot="1">
      <c r="B25" s="23"/>
      <c r="C25" s="110" t="s">
        <v>51</v>
      </c>
      <c r="D25" s="111">
        <f>+'Tarifpreise ab 2023'!$D$31</f>
        <v>0.07</v>
      </c>
      <c r="E25" s="112">
        <f>(50*'Tarifpreise ab 2023'!U15)+(50*'Tarifpreise ab 2023'!U16)+(($G$13-100)*'Tarifpreise ab 2023'!U17)+($G$14*'Tarifpreise ab 2023'!$U$18)*0.2+($G$14*'Tarifpreise ab 2023'!$U$19)*0.8</f>
        <v>26982.575207100002</v>
      </c>
      <c r="F25" s="113">
        <f>+('Tarifpreise ab 2023'!$I$6)+(($G$13-20)*'Tarifpreise ab 2023'!$I$7)+($G$14*'Tarifpreise ab 2023'!$I$8)+($G$14*'Tarifpreise ab 2023'!U29)</f>
        <v>19581.012840000003</v>
      </c>
      <c r="G25" s="114">
        <f>+E25-F25</f>
        <v>7401.562367099999</v>
      </c>
      <c r="H25" s="24"/>
      <c r="I25" s="24"/>
      <c r="J25" s="64">
        <f>+E25/$G$14/10</f>
        <v>13.491287603550001</v>
      </c>
      <c r="K25" s="64">
        <f>+F25/$G$14/10</f>
        <v>9.790506420000002</v>
      </c>
      <c r="L25" s="127" t="s">
        <v>43</v>
      </c>
      <c r="M25" s="24"/>
      <c r="N25" s="24"/>
      <c r="O25" s="24"/>
      <c r="P25" s="24"/>
      <c r="Q25" s="28"/>
    </row>
    <row r="26" spans="2:17" ht="6.75" customHeight="1" thickTop="1">
      <c r="B26" s="23"/>
      <c r="C26" s="29"/>
      <c r="D26" s="24"/>
      <c r="E26" s="82"/>
      <c r="F26" s="83"/>
      <c r="G26" s="87"/>
      <c r="H26" s="24"/>
      <c r="I26" s="24"/>
      <c r="J26" s="24"/>
      <c r="K26" s="24"/>
      <c r="L26" s="24"/>
      <c r="M26" s="24"/>
      <c r="N26" s="24"/>
      <c r="O26" s="24"/>
      <c r="P26" s="24"/>
      <c r="Q26" s="28"/>
    </row>
    <row r="27" spans="2:17" ht="21" customHeight="1">
      <c r="B27" s="23"/>
      <c r="C27" s="81" t="s">
        <v>56</v>
      </c>
      <c r="D27" s="24"/>
      <c r="E27" s="47">
        <f>+E25/11</f>
        <v>2452.9613824636367</v>
      </c>
      <c r="F27" s="48">
        <f>+F25/11</f>
        <v>1780.0920763636366</v>
      </c>
      <c r="G27" s="88">
        <f>+E27-F27</f>
        <v>672.8693061000001</v>
      </c>
      <c r="H27" s="24"/>
      <c r="I27" s="24"/>
      <c r="J27" s="24"/>
      <c r="K27" s="24"/>
      <c r="L27" s="24"/>
      <c r="M27" s="24"/>
      <c r="N27" s="24"/>
      <c r="O27" s="24"/>
      <c r="P27" s="24"/>
      <c r="Q27" s="28"/>
    </row>
    <row r="28" spans="2:17" ht="6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8"/>
    </row>
    <row r="29" spans="2:17" ht="18.75">
      <c r="B29" s="23"/>
      <c r="C29" s="41" t="s">
        <v>62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120"/>
    </row>
    <row r="30" spans="2:17" ht="18.75">
      <c r="B30" s="23"/>
      <c r="C30" s="41" t="s">
        <v>63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120"/>
    </row>
    <row r="31" spans="2:17" ht="15.75">
      <c r="B31" s="23"/>
      <c r="C31" s="41" t="s">
        <v>60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120"/>
    </row>
    <row r="32" spans="2:17" ht="15.75">
      <c r="B32" s="23"/>
      <c r="C32" s="41" t="s">
        <v>61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120"/>
    </row>
    <row r="33" spans="2:17" ht="5.25" customHeight="1">
      <c r="B33" s="2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120"/>
    </row>
    <row r="34" spans="2:17" ht="15.75">
      <c r="B34" s="23"/>
      <c r="C34" s="121" t="s">
        <v>73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</row>
    <row r="35" spans="2:17" ht="6.75" customHeight="1" thickBot="1"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40"/>
    </row>
    <row r="36" ht="7.5" customHeight="1"/>
    <row r="37" spans="3:7" ht="15">
      <c r="C37" t="s">
        <v>47</v>
      </c>
      <c r="D37" t="s">
        <v>45</v>
      </c>
      <c r="F37" t="s">
        <v>48</v>
      </c>
      <c r="G37" t="s">
        <v>46</v>
      </c>
    </row>
    <row r="39" spans="3:6" ht="15">
      <c r="C39" t="s">
        <v>70</v>
      </c>
      <c r="F39" t="s">
        <v>75</v>
      </c>
    </row>
  </sheetData>
  <sheetProtection/>
  <mergeCells count="4">
    <mergeCell ref="E18:F18"/>
    <mergeCell ref="J18:L18"/>
    <mergeCell ref="B2:Q2"/>
    <mergeCell ref="B3:Q3"/>
  </mergeCells>
  <conditionalFormatting sqref="G21">
    <cfRule type="cellIs" priority="7" dxfId="20" operator="greaterThan" stopIfTrue="1">
      <formula>0</formula>
    </cfRule>
  </conditionalFormatting>
  <conditionalFormatting sqref="G22">
    <cfRule type="cellIs" priority="4" dxfId="20" operator="greaterThan" stopIfTrue="1">
      <formula>0</formula>
    </cfRule>
  </conditionalFormatting>
  <conditionalFormatting sqref="G23">
    <cfRule type="cellIs" priority="3" dxfId="20" operator="greaterThan" stopIfTrue="1">
      <formula>0</formula>
    </cfRule>
  </conditionalFormatting>
  <conditionalFormatting sqref="G25">
    <cfRule type="cellIs" priority="2" dxfId="20" operator="greaterThan" stopIfTrue="1">
      <formula>0</formula>
    </cfRule>
  </conditionalFormatting>
  <conditionalFormatting sqref="G27">
    <cfRule type="cellIs" priority="1" dxfId="20" operator="greaterThan" stopIfTrue="1">
      <formula>0</formula>
    </cfRule>
  </conditionalFormatting>
  <dataValidations count="1">
    <dataValidation type="decimal" allowBlank="1" showInputMessage="1" showErrorMessage="1" errorTitle="Bis 100kW" error="Bitte nur größer 100 kW bis 500 kW eingeben, sonst anderes Tabellenblatt benutzen" sqref="G13">
      <formula1>100.001</formula1>
      <formula2>300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V31"/>
  <sheetViews>
    <sheetView zoomScalePageLayoutView="0" workbookViewId="0" topLeftCell="B1">
      <selection activeCell="M29" sqref="M29"/>
    </sheetView>
  </sheetViews>
  <sheetFormatPr defaultColWidth="11.421875" defaultRowHeight="15"/>
  <cols>
    <col min="2" max="2" width="19.140625" style="0" customWidth="1"/>
    <col min="3" max="3" width="14.00390625" style="0" customWidth="1"/>
    <col min="4" max="5" width="13.8515625" style="0" customWidth="1"/>
    <col min="6" max="6" width="13.7109375" style="0" customWidth="1"/>
    <col min="8" max="8" width="8.140625" style="0" customWidth="1"/>
    <col min="10" max="10" width="9.00390625" style="0" customWidth="1"/>
    <col min="12" max="12" width="8.8515625" style="0" customWidth="1"/>
    <col min="14" max="14" width="8.7109375" style="0" customWidth="1"/>
  </cols>
  <sheetData>
    <row r="1" ht="15.75" thickBot="1"/>
    <row r="2" spans="2:21" ht="19.5" thickBot="1">
      <c r="B2" s="18" t="s">
        <v>27</v>
      </c>
      <c r="C2" s="13"/>
      <c r="D2" s="14"/>
      <c r="E2" s="14"/>
      <c r="F2" s="14"/>
      <c r="G2" s="14"/>
      <c r="H2" s="15">
        <v>2019</v>
      </c>
      <c r="I2" s="16" t="s">
        <v>53</v>
      </c>
      <c r="J2" s="17"/>
      <c r="N2" s="68" t="s">
        <v>39</v>
      </c>
      <c r="Q2" s="68" t="s">
        <v>39</v>
      </c>
      <c r="U2" s="68" t="s">
        <v>39</v>
      </c>
    </row>
    <row r="3" spans="2:10" ht="6" customHeight="1">
      <c r="B3" s="1"/>
      <c r="C3" s="2"/>
      <c r="D3" s="2"/>
      <c r="E3" s="2"/>
      <c r="F3" s="2"/>
      <c r="G3" s="7"/>
      <c r="H3" s="8"/>
      <c r="I3" s="7"/>
      <c r="J3" s="8"/>
    </row>
    <row r="4" spans="2:10" ht="15">
      <c r="B4" s="1"/>
      <c r="C4" s="2"/>
      <c r="D4" s="2"/>
      <c r="E4" s="2"/>
      <c r="F4" s="2"/>
      <c r="G4" s="144" t="s">
        <v>13</v>
      </c>
      <c r="H4" s="145"/>
      <c r="I4" s="144" t="s">
        <v>14</v>
      </c>
      <c r="J4" s="145"/>
    </row>
    <row r="5" spans="2:10" ht="5.25" customHeight="1">
      <c r="B5" s="1"/>
      <c r="C5" s="2"/>
      <c r="D5" s="2"/>
      <c r="E5" s="2"/>
      <c r="F5" s="2"/>
      <c r="G5" s="11"/>
      <c r="H5" s="3"/>
      <c r="I5" s="89"/>
      <c r="J5" s="3"/>
    </row>
    <row r="6" spans="2:10" ht="15">
      <c r="B6" s="1" t="s">
        <v>10</v>
      </c>
      <c r="C6" s="2"/>
      <c r="D6" s="2"/>
      <c r="E6" s="2"/>
      <c r="F6" s="2"/>
      <c r="G6" s="1">
        <v>120</v>
      </c>
      <c r="H6" s="3" t="s">
        <v>12</v>
      </c>
      <c r="I6" s="12">
        <f>+G6*($D$31+1)</f>
        <v>128.4</v>
      </c>
      <c r="J6" s="3" t="s">
        <v>12</v>
      </c>
    </row>
    <row r="7" spans="2:10" ht="15">
      <c r="B7" s="1" t="s">
        <v>11</v>
      </c>
      <c r="C7" s="2"/>
      <c r="D7" s="2"/>
      <c r="E7" s="2"/>
      <c r="F7" s="2"/>
      <c r="G7" s="1">
        <v>12</v>
      </c>
      <c r="H7" s="3" t="s">
        <v>9</v>
      </c>
      <c r="I7" s="12">
        <f>+G7*($D$31+1)</f>
        <v>12.84</v>
      </c>
      <c r="J7" s="3" t="s">
        <v>9</v>
      </c>
    </row>
    <row r="8" spans="2:21" ht="15">
      <c r="B8" s="1" t="s">
        <v>36</v>
      </c>
      <c r="C8" s="2"/>
      <c r="D8" s="2"/>
      <c r="E8" s="2"/>
      <c r="F8" s="2"/>
      <c r="G8" s="1">
        <f>84.8+0.31</f>
        <v>85.11</v>
      </c>
      <c r="H8" s="3" t="s">
        <v>16</v>
      </c>
      <c r="I8" s="12">
        <f>+G8*($D$31+1)</f>
        <v>91.0677</v>
      </c>
      <c r="J8" s="3" t="s">
        <v>16</v>
      </c>
      <c r="N8" s="61">
        <f>+I8+M29</f>
        <v>91.7953</v>
      </c>
      <c r="Q8" s="61">
        <f>+I8+Q29</f>
        <v>91.9986</v>
      </c>
      <c r="R8" s="61"/>
      <c r="U8" s="61">
        <f>+I8+U29</f>
        <v>92.29820000000001</v>
      </c>
    </row>
    <row r="9" spans="2:10" ht="15.75" thickBot="1">
      <c r="B9" s="4"/>
      <c r="C9" s="5"/>
      <c r="D9" s="5"/>
      <c r="E9" s="5"/>
      <c r="F9" s="5"/>
      <c r="G9" s="4"/>
      <c r="H9" s="6"/>
      <c r="I9" s="4"/>
      <c r="J9" s="6"/>
    </row>
    <row r="10" ht="4.5" customHeight="1" thickBot="1"/>
    <row r="11" spans="2:22" ht="19.5" thickBot="1">
      <c r="B11" s="18" t="s">
        <v>26</v>
      </c>
      <c r="C11" s="19"/>
      <c r="D11" s="19"/>
      <c r="E11" s="19"/>
      <c r="F11" s="19"/>
      <c r="G11" s="148">
        <v>2020</v>
      </c>
      <c r="H11" s="146"/>
      <c r="I11" s="146"/>
      <c r="J11" s="147"/>
      <c r="K11" s="148">
        <v>2021</v>
      </c>
      <c r="L11" s="146"/>
      <c r="M11" s="146"/>
      <c r="N11" s="147"/>
      <c r="O11" s="148">
        <v>2022</v>
      </c>
      <c r="P11" s="146"/>
      <c r="Q11" s="146"/>
      <c r="R11" s="147"/>
      <c r="S11" s="148">
        <v>2023</v>
      </c>
      <c r="T11" s="146"/>
      <c r="U11" s="146"/>
      <c r="V11" s="147"/>
    </row>
    <row r="12" spans="2:22" ht="6" customHeight="1">
      <c r="B12" s="1"/>
      <c r="C12" s="2"/>
      <c r="D12" s="2"/>
      <c r="E12" s="2"/>
      <c r="F12" s="2"/>
      <c r="G12" s="7"/>
      <c r="H12" s="10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</row>
    <row r="13" spans="2:22" ht="15">
      <c r="B13" s="1"/>
      <c r="C13" s="2"/>
      <c r="D13" s="2"/>
      <c r="E13" s="2"/>
      <c r="F13" s="2"/>
      <c r="G13" s="144" t="s">
        <v>13</v>
      </c>
      <c r="H13" s="145"/>
      <c r="I13" s="144" t="s">
        <v>14</v>
      </c>
      <c r="J13" s="145"/>
      <c r="K13" s="144" t="s">
        <v>13</v>
      </c>
      <c r="L13" s="145"/>
      <c r="M13" s="144" t="s">
        <v>14</v>
      </c>
      <c r="N13" s="145"/>
      <c r="O13" s="144" t="s">
        <v>13</v>
      </c>
      <c r="P13" s="145"/>
      <c r="Q13" s="144" t="s">
        <v>14</v>
      </c>
      <c r="R13" s="145"/>
      <c r="S13" s="144" t="s">
        <v>13</v>
      </c>
      <c r="T13" s="145"/>
      <c r="U13" s="144" t="s">
        <v>14</v>
      </c>
      <c r="V13" s="145"/>
    </row>
    <row r="14" spans="2:22" ht="4.5" customHeight="1">
      <c r="B14" s="1"/>
      <c r="C14" s="2"/>
      <c r="D14" s="2"/>
      <c r="E14" s="2"/>
      <c r="F14" s="2"/>
      <c r="G14" s="9"/>
      <c r="H14" s="2"/>
      <c r="I14" s="9"/>
      <c r="J14" s="3"/>
      <c r="K14" s="9"/>
      <c r="L14" s="3"/>
      <c r="M14" s="9"/>
      <c r="N14" s="3"/>
      <c r="O14" s="9"/>
      <c r="P14" s="3"/>
      <c r="Q14" s="9"/>
      <c r="R14" s="3"/>
      <c r="S14" s="9"/>
      <c r="T14" s="3"/>
      <c r="U14" s="9"/>
      <c r="V14" s="3"/>
    </row>
    <row r="15" spans="2:22" ht="15">
      <c r="B15" s="1" t="s">
        <v>15</v>
      </c>
      <c r="C15" s="2"/>
      <c r="D15" s="2" t="s">
        <v>24</v>
      </c>
      <c r="E15" s="2"/>
      <c r="F15" s="2"/>
      <c r="G15" s="1">
        <v>66.37</v>
      </c>
      <c r="H15" s="3" t="s">
        <v>21</v>
      </c>
      <c r="I15" s="12">
        <f>+G15*($D$31+1)</f>
        <v>71.0159</v>
      </c>
      <c r="J15" s="3" t="s">
        <v>21</v>
      </c>
      <c r="K15" s="12">
        <v>67.54</v>
      </c>
      <c r="L15" s="3" t="s">
        <v>21</v>
      </c>
      <c r="M15" s="12">
        <f>+K15*($D$31+1)</f>
        <v>72.26780000000001</v>
      </c>
      <c r="N15" s="3" t="s">
        <v>21</v>
      </c>
      <c r="O15" s="12">
        <v>68.41</v>
      </c>
      <c r="P15" s="3" t="s">
        <v>21</v>
      </c>
      <c r="Q15" s="12">
        <f>+O15*($D$31+1)</f>
        <v>73.1987</v>
      </c>
      <c r="R15" s="3" t="s">
        <v>21</v>
      </c>
      <c r="S15" s="12">
        <v>70.94</v>
      </c>
      <c r="T15" s="3" t="s">
        <v>21</v>
      </c>
      <c r="U15" s="12">
        <f>+S15*($D$31+1)</f>
        <v>75.9058</v>
      </c>
      <c r="V15" s="3" t="s">
        <v>21</v>
      </c>
    </row>
    <row r="16" spans="2:22" ht="15">
      <c r="B16" s="1" t="s">
        <v>17</v>
      </c>
      <c r="C16" s="2"/>
      <c r="D16" s="2" t="s">
        <v>25</v>
      </c>
      <c r="E16" s="2"/>
      <c r="F16" s="2"/>
      <c r="G16" s="1">
        <v>53.83</v>
      </c>
      <c r="H16" s="3" t="s">
        <v>21</v>
      </c>
      <c r="I16" s="12">
        <f>+G16*($D$31+1)</f>
        <v>57.5981</v>
      </c>
      <c r="J16" s="3" t="s">
        <v>21</v>
      </c>
      <c r="K16" s="12">
        <v>54.77</v>
      </c>
      <c r="L16" s="3" t="s">
        <v>21</v>
      </c>
      <c r="M16" s="12">
        <f>+K16*($D$31+1)</f>
        <v>58.60390000000001</v>
      </c>
      <c r="N16" s="3" t="s">
        <v>21</v>
      </c>
      <c r="O16" s="12">
        <v>55.48</v>
      </c>
      <c r="P16" s="3" t="s">
        <v>21</v>
      </c>
      <c r="Q16" s="12">
        <f>+O16*($D$31+1)</f>
        <v>59.3636</v>
      </c>
      <c r="R16" s="3" t="s">
        <v>21</v>
      </c>
      <c r="S16" s="12">
        <v>57.53</v>
      </c>
      <c r="T16" s="3" t="s">
        <v>21</v>
      </c>
      <c r="U16" s="12">
        <f>+S16*($D$31+1)</f>
        <v>61.557100000000005</v>
      </c>
      <c r="V16" s="3" t="s">
        <v>21</v>
      </c>
    </row>
    <row r="17" spans="2:22" ht="15">
      <c r="B17" s="1" t="s">
        <v>18</v>
      </c>
      <c r="C17" s="2"/>
      <c r="D17" s="2" t="s">
        <v>32</v>
      </c>
      <c r="E17" s="2"/>
      <c r="F17" s="2"/>
      <c r="G17" s="1">
        <v>49.13</v>
      </c>
      <c r="H17" s="3" t="s">
        <v>21</v>
      </c>
      <c r="I17" s="12">
        <f>+G17*($D$31+1)</f>
        <v>52.569100000000006</v>
      </c>
      <c r="J17" s="3" t="s">
        <v>21</v>
      </c>
      <c r="K17" s="12">
        <v>49.99</v>
      </c>
      <c r="L17" s="3" t="s">
        <v>21</v>
      </c>
      <c r="M17" s="12">
        <f>+K17*($D$31+1)</f>
        <v>53.48930000000001</v>
      </c>
      <c r="N17" s="3" t="s">
        <v>21</v>
      </c>
      <c r="O17" s="12">
        <v>50.63</v>
      </c>
      <c r="P17" s="3" t="s">
        <v>21</v>
      </c>
      <c r="Q17" s="12">
        <f>+O17*($D$31+1)</f>
        <v>54.1741</v>
      </c>
      <c r="R17" s="3" t="s">
        <v>21</v>
      </c>
      <c r="S17" s="12">
        <v>52.51</v>
      </c>
      <c r="T17" s="3" t="s">
        <v>21</v>
      </c>
      <c r="U17" s="12">
        <f>+S17*($D$31+1)</f>
        <v>56.185700000000004</v>
      </c>
      <c r="V17" s="3" t="s">
        <v>21</v>
      </c>
    </row>
    <row r="18" spans="2:22" ht="15">
      <c r="B18" s="70" t="s">
        <v>38</v>
      </c>
      <c r="C18" s="53"/>
      <c r="D18" s="53"/>
      <c r="E18" s="53"/>
      <c r="F18" s="53"/>
      <c r="G18" s="52">
        <f>60.21+0.31</f>
        <v>60.52</v>
      </c>
      <c r="H18" s="53" t="s">
        <v>16</v>
      </c>
      <c r="I18" s="54">
        <f>+G18*($D$31+1)</f>
        <v>64.75640000000001</v>
      </c>
      <c r="J18" s="55" t="s">
        <v>16</v>
      </c>
      <c r="K18" s="54">
        <f>55.77+0.31+K29</f>
        <v>56.760000000000005</v>
      </c>
      <c r="L18" s="55" t="s">
        <v>16</v>
      </c>
      <c r="M18" s="54">
        <f>+K18*($D$31+1)</f>
        <v>60.73320000000001</v>
      </c>
      <c r="N18" s="55" t="s">
        <v>16</v>
      </c>
      <c r="O18" s="54">
        <f>59.57+0.31+O29</f>
        <v>60.75</v>
      </c>
      <c r="P18" s="55" t="s">
        <v>16</v>
      </c>
      <c r="Q18" s="54">
        <f>+O18*($D$31+1)</f>
        <v>65.0025</v>
      </c>
      <c r="R18" s="55" t="s">
        <v>16</v>
      </c>
      <c r="S18" s="54">
        <f>108.13+0.31+S29</f>
        <v>109.59</v>
      </c>
      <c r="T18" s="55" t="s">
        <v>16</v>
      </c>
      <c r="U18" s="54">
        <f>+S18*($D$31+1)</f>
        <v>117.2613</v>
      </c>
      <c r="V18" s="55" t="s">
        <v>16</v>
      </c>
    </row>
    <row r="19" spans="2:22" ht="15.75" thickBot="1">
      <c r="B19" s="4"/>
      <c r="C19" s="5"/>
      <c r="D19" s="5"/>
      <c r="E19" s="5"/>
      <c r="F19" s="5"/>
      <c r="G19" s="4"/>
      <c r="H19" s="5"/>
      <c r="I19" s="4"/>
      <c r="J19" s="6"/>
      <c r="K19" s="4"/>
      <c r="L19" s="6"/>
      <c r="M19" s="4"/>
      <c r="N19" s="6"/>
      <c r="O19" s="4"/>
      <c r="P19" s="6"/>
      <c r="Q19" s="4"/>
      <c r="R19" s="6"/>
      <c r="S19" s="4"/>
      <c r="T19" s="6"/>
      <c r="U19" s="4"/>
      <c r="V19" s="6"/>
    </row>
    <row r="20" ht="15" customHeight="1" thickBot="1"/>
    <row r="21" spans="2:22" ht="19.5" thickBot="1">
      <c r="B21" s="18" t="s">
        <v>37</v>
      </c>
      <c r="C21" s="49"/>
      <c r="D21" s="49" t="s">
        <v>33</v>
      </c>
      <c r="E21" s="51" t="s">
        <v>34</v>
      </c>
      <c r="F21" s="72" t="s">
        <v>49</v>
      </c>
      <c r="G21" s="146">
        <v>2020</v>
      </c>
      <c r="H21" s="146"/>
      <c r="I21" s="146"/>
      <c r="J21" s="147"/>
      <c r="K21" s="148">
        <v>2021</v>
      </c>
      <c r="L21" s="146"/>
      <c r="M21" s="146"/>
      <c r="N21" s="147"/>
      <c r="O21" s="148">
        <v>2022</v>
      </c>
      <c r="P21" s="146"/>
      <c r="Q21" s="146"/>
      <c r="R21" s="147"/>
      <c r="S21" s="148">
        <v>2023</v>
      </c>
      <c r="T21" s="146"/>
      <c r="U21" s="146"/>
      <c r="V21" s="147"/>
    </row>
    <row r="22" spans="2:22" ht="6.75" customHeight="1">
      <c r="B22" s="1"/>
      <c r="C22" s="2"/>
      <c r="D22" s="2"/>
      <c r="E22" s="2"/>
      <c r="F22" s="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/>
      <c r="S22" s="23"/>
      <c r="T22" s="24"/>
      <c r="U22" s="24"/>
      <c r="V22" s="28"/>
    </row>
    <row r="23" spans="2:22" ht="15">
      <c r="B23" s="1" t="s">
        <v>15</v>
      </c>
      <c r="C23" s="2"/>
      <c r="D23" s="2" t="s">
        <v>24</v>
      </c>
      <c r="E23" s="2"/>
      <c r="F23" s="3"/>
      <c r="G23" s="24"/>
      <c r="H23" s="24"/>
      <c r="I23" s="24"/>
      <c r="J23" s="24"/>
      <c r="K23" s="50">
        <f>+K15/G15-1</f>
        <v>0.01762844658731355</v>
      </c>
      <c r="L23" s="24"/>
      <c r="M23" s="24"/>
      <c r="N23" s="24"/>
      <c r="O23" s="50">
        <f>+O15/G15-1</f>
        <v>0.030736778665059417</v>
      </c>
      <c r="P23" s="56">
        <f>+O15/K15-1</f>
        <v>0.01288125555226527</v>
      </c>
      <c r="Q23" s="69"/>
      <c r="R23" s="28"/>
      <c r="S23" s="71">
        <f>+S15/G15-1</f>
        <v>0.06885641102907925</v>
      </c>
      <c r="T23" s="56">
        <f>+S15/K15-1</f>
        <v>0.050340538939887436</v>
      </c>
      <c r="U23" s="69">
        <f>+S15/O15-1</f>
        <v>0.036982897237246126</v>
      </c>
      <c r="V23" s="28"/>
    </row>
    <row r="24" spans="2:22" ht="15">
      <c r="B24" s="1" t="s">
        <v>17</v>
      </c>
      <c r="C24" s="2"/>
      <c r="D24" s="2" t="s">
        <v>25</v>
      </c>
      <c r="E24" s="2"/>
      <c r="F24" s="3"/>
      <c r="G24" s="24"/>
      <c r="H24" s="24"/>
      <c r="I24" s="24"/>
      <c r="J24" s="24"/>
      <c r="K24" s="50">
        <f>+K16/G16-1</f>
        <v>0.017462381571614394</v>
      </c>
      <c r="L24" s="24"/>
      <c r="M24" s="24"/>
      <c r="N24" s="24"/>
      <c r="O24" s="50">
        <f>+O16/G16-1</f>
        <v>0.030652052758684656</v>
      </c>
      <c r="P24" s="56">
        <f>+O16/K16-1</f>
        <v>0.01296330107723187</v>
      </c>
      <c r="Q24" s="69"/>
      <c r="R24" s="28"/>
      <c r="S24" s="71">
        <f>+S16/G16-1</f>
        <v>0.06873490618614153</v>
      </c>
      <c r="T24" s="56">
        <f>+S16/K16-1</f>
        <v>0.05039255066642312</v>
      </c>
      <c r="U24" s="69">
        <f>+S16/O16-1</f>
        <v>0.03695025234318683</v>
      </c>
      <c r="V24" s="28"/>
    </row>
    <row r="25" spans="2:22" ht="15">
      <c r="B25" s="1" t="s">
        <v>18</v>
      </c>
      <c r="C25" s="2"/>
      <c r="D25" s="2" t="s">
        <v>32</v>
      </c>
      <c r="E25" s="2"/>
      <c r="F25" s="3"/>
      <c r="G25" s="24"/>
      <c r="H25" s="24"/>
      <c r="I25" s="24"/>
      <c r="J25" s="24"/>
      <c r="K25" s="50">
        <f>+K17/G17-1</f>
        <v>0.01750457968654584</v>
      </c>
      <c r="L25" s="24"/>
      <c r="M25" s="24"/>
      <c r="N25" s="24"/>
      <c r="O25" s="50">
        <f>+O17/G17-1</f>
        <v>0.030531243639324135</v>
      </c>
      <c r="P25" s="56">
        <f>+O17/K17-1</f>
        <v>0.01280256051210249</v>
      </c>
      <c r="Q25" s="69"/>
      <c r="R25" s="28"/>
      <c r="S25" s="71">
        <f>+S17/G17-1</f>
        <v>0.06879706900061056</v>
      </c>
      <c r="T25" s="56">
        <f>+S17/K17-1</f>
        <v>0.05041008201640329</v>
      </c>
      <c r="U25" s="69">
        <f>+S17/O17-1</f>
        <v>0.037132135097768026</v>
      </c>
      <c r="V25" s="28"/>
    </row>
    <row r="26" spans="2:22" ht="15">
      <c r="B26" s="70" t="s">
        <v>38</v>
      </c>
      <c r="C26" s="2"/>
      <c r="D26" s="2"/>
      <c r="E26" s="2"/>
      <c r="F26" s="3"/>
      <c r="G26" s="24"/>
      <c r="H26" s="24"/>
      <c r="I26" s="24"/>
      <c r="J26" s="24"/>
      <c r="K26" s="50">
        <f>+K18/G18-1</f>
        <v>-0.06212822207534696</v>
      </c>
      <c r="L26" s="24"/>
      <c r="M26" s="24"/>
      <c r="N26" s="24"/>
      <c r="O26" s="50">
        <f>+O18/G18-1</f>
        <v>0.003800396563119479</v>
      </c>
      <c r="P26" s="56">
        <f>+O18/K18-1</f>
        <v>0.07029598308668072</v>
      </c>
      <c r="Q26" s="69"/>
      <c r="R26" s="28"/>
      <c r="S26" s="71">
        <f>+S18/G18-1</f>
        <v>0.8108063450099141</v>
      </c>
      <c r="T26" s="56">
        <f>+S18/K18-1</f>
        <v>0.9307610993657505</v>
      </c>
      <c r="U26" s="69">
        <f>+S18/O18-1</f>
        <v>0.8039506172839506</v>
      </c>
      <c r="V26" s="28"/>
    </row>
    <row r="27" spans="2:22" ht="5.25" customHeight="1" thickBot="1">
      <c r="B27" s="4"/>
      <c r="C27" s="5"/>
      <c r="D27" s="5"/>
      <c r="E27" s="5"/>
      <c r="F27" s="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8"/>
      <c r="T27" s="39"/>
      <c r="U27" s="39"/>
      <c r="V27" s="40"/>
    </row>
    <row r="29" spans="2:22" ht="18">
      <c r="B29" s="57" t="s">
        <v>35</v>
      </c>
      <c r="K29" s="57">
        <v>0.68</v>
      </c>
      <c r="L29" s="57" t="s">
        <v>21</v>
      </c>
      <c r="M29" s="58">
        <f>+K29*($D$31+1)</f>
        <v>0.7276000000000001</v>
      </c>
      <c r="N29" s="57" t="s">
        <v>21</v>
      </c>
      <c r="O29" s="57">
        <v>0.87</v>
      </c>
      <c r="P29" s="57" t="s">
        <v>21</v>
      </c>
      <c r="Q29" s="58">
        <f>+O29*($D$31+1)</f>
        <v>0.9309000000000001</v>
      </c>
      <c r="R29" s="57" t="s">
        <v>21</v>
      </c>
      <c r="S29" s="57">
        <v>1.15</v>
      </c>
      <c r="T29" s="57" t="s">
        <v>21</v>
      </c>
      <c r="U29" s="58">
        <f>+S29*($D$31+1)</f>
        <v>1.2305</v>
      </c>
      <c r="V29" s="57" t="s">
        <v>21</v>
      </c>
    </row>
    <row r="30" spans="11:19" ht="15">
      <c r="K30" s="68" t="s">
        <v>42</v>
      </c>
      <c r="O30" s="68" t="s">
        <v>42</v>
      </c>
      <c r="S30" s="68" t="s">
        <v>41</v>
      </c>
    </row>
    <row r="31" spans="2:4" ht="15">
      <c r="B31" s="105" t="s">
        <v>55</v>
      </c>
      <c r="C31" s="106"/>
      <c r="D31" s="105">
        <v>0.07</v>
      </c>
    </row>
  </sheetData>
  <sheetProtection/>
  <protectedRanges>
    <protectedRange password="E8DD" sqref="B31:D31" name="Bereich1"/>
  </protectedRanges>
  <mergeCells count="18">
    <mergeCell ref="U13:V13"/>
    <mergeCell ref="S21:V21"/>
    <mergeCell ref="G4:H4"/>
    <mergeCell ref="I4:J4"/>
    <mergeCell ref="G13:H13"/>
    <mergeCell ref="I13:J13"/>
    <mergeCell ref="K13:L13"/>
    <mergeCell ref="S13:T13"/>
    <mergeCell ref="S11:V11"/>
    <mergeCell ref="O11:R11"/>
    <mergeCell ref="O13:P13"/>
    <mergeCell ref="Q13:R13"/>
    <mergeCell ref="G21:J21"/>
    <mergeCell ref="K21:N21"/>
    <mergeCell ref="O21:R21"/>
    <mergeCell ref="K11:N11"/>
    <mergeCell ref="G11:J11"/>
    <mergeCell ref="M13:N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Z32"/>
  <sheetViews>
    <sheetView zoomScalePageLayoutView="0" workbookViewId="0" topLeftCell="A1">
      <selection activeCell="G34" sqref="G34"/>
    </sheetView>
  </sheetViews>
  <sheetFormatPr defaultColWidth="11.421875" defaultRowHeight="15"/>
  <cols>
    <col min="2" max="2" width="19.140625" style="0" customWidth="1"/>
    <col min="3" max="3" width="14.00390625" style="0" customWidth="1"/>
    <col min="4" max="5" width="13.8515625" style="0" customWidth="1"/>
    <col min="6" max="6" width="13.7109375" style="0" customWidth="1"/>
    <col min="8" max="8" width="8.140625" style="0" customWidth="1"/>
    <col min="10" max="10" width="9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8.7109375" style="0" customWidth="1"/>
    <col min="15" max="15" width="7.140625" style="0" customWidth="1"/>
    <col min="17" max="17" width="7.7109375" style="0" customWidth="1"/>
    <col min="19" max="19" width="8.57421875" style="0" customWidth="1"/>
    <col min="21" max="21" width="8.28125" style="0" customWidth="1"/>
  </cols>
  <sheetData>
    <row r="1" ht="15.75" thickBot="1"/>
    <row r="2" spans="2:21" ht="19.5" thickBot="1">
      <c r="B2" s="18" t="s">
        <v>27</v>
      </c>
      <c r="C2" s="13"/>
      <c r="D2" s="14"/>
      <c r="E2" s="14"/>
      <c r="F2" s="14"/>
      <c r="G2" s="14"/>
      <c r="H2" s="149">
        <v>2023</v>
      </c>
      <c r="I2" s="149"/>
      <c r="J2" s="17"/>
      <c r="N2" s="68" t="s">
        <v>39</v>
      </c>
      <c r="Q2" s="68" t="s">
        <v>39</v>
      </c>
      <c r="U2" s="68" t="s">
        <v>39</v>
      </c>
    </row>
    <row r="3" spans="2:10" ht="6" customHeight="1">
      <c r="B3" s="1"/>
      <c r="C3" s="2"/>
      <c r="D3" s="2"/>
      <c r="E3" s="2"/>
      <c r="F3" s="2"/>
      <c r="G3" s="7"/>
      <c r="H3" s="8"/>
      <c r="I3" s="7"/>
      <c r="J3" s="8"/>
    </row>
    <row r="4" spans="2:10" ht="15">
      <c r="B4" s="1"/>
      <c r="C4" s="2"/>
      <c r="D4" s="2"/>
      <c r="E4" s="2"/>
      <c r="F4" s="2"/>
      <c r="G4" s="144" t="s">
        <v>13</v>
      </c>
      <c r="H4" s="145"/>
      <c r="I4" s="144" t="s">
        <v>14</v>
      </c>
      <c r="J4" s="145"/>
    </row>
    <row r="5" spans="2:10" ht="5.25" customHeight="1">
      <c r="B5" s="1"/>
      <c r="C5" s="2"/>
      <c r="D5" s="2"/>
      <c r="E5" s="2"/>
      <c r="F5" s="2"/>
      <c r="G5" s="11"/>
      <c r="H5" s="3"/>
      <c r="I5" s="73"/>
      <c r="J5" s="3"/>
    </row>
    <row r="6" spans="2:10" ht="15">
      <c r="B6" s="1" t="s">
        <v>10</v>
      </c>
      <c r="C6" s="2"/>
      <c r="D6" s="2"/>
      <c r="E6" s="2"/>
      <c r="F6" s="2"/>
      <c r="G6" s="1">
        <v>120</v>
      </c>
      <c r="H6" s="3" t="s">
        <v>12</v>
      </c>
      <c r="I6" s="12">
        <f>+G6*($D$31+1)</f>
        <v>128.4</v>
      </c>
      <c r="J6" s="3" t="s">
        <v>12</v>
      </c>
    </row>
    <row r="7" spans="2:10" ht="15">
      <c r="B7" s="1" t="s">
        <v>11</v>
      </c>
      <c r="C7" s="2"/>
      <c r="D7" s="2"/>
      <c r="E7" s="2"/>
      <c r="F7" s="2"/>
      <c r="G7" s="1">
        <v>12</v>
      </c>
      <c r="H7" s="3" t="s">
        <v>9</v>
      </c>
      <c r="I7" s="12">
        <f>+G7*($D$31+1)</f>
        <v>12.84</v>
      </c>
      <c r="J7" s="3" t="s">
        <v>9</v>
      </c>
    </row>
    <row r="8" spans="2:26" ht="15">
      <c r="B8" s="1" t="s">
        <v>36</v>
      </c>
      <c r="C8" s="2"/>
      <c r="D8" s="2"/>
      <c r="E8" s="2"/>
      <c r="F8" s="2"/>
      <c r="G8" s="1">
        <f>84.8+0.31</f>
        <v>85.11</v>
      </c>
      <c r="H8" s="3" t="s">
        <v>16</v>
      </c>
      <c r="I8" s="12">
        <f>+G8*($D$31+1)</f>
        <v>91.0677</v>
      </c>
      <c r="J8" s="3" t="s">
        <v>16</v>
      </c>
      <c r="N8" s="61">
        <f>+I8+M29</f>
        <v>91.7953</v>
      </c>
      <c r="Q8" s="61">
        <f>+I8+Q29</f>
        <v>91.9986</v>
      </c>
      <c r="R8" s="61"/>
      <c r="U8" s="61">
        <f>+I8+U29</f>
        <v>92.127</v>
      </c>
      <c r="W8" s="133" t="s">
        <v>64</v>
      </c>
      <c r="X8" s="133" t="s">
        <v>13</v>
      </c>
      <c r="Y8" s="133" t="s">
        <v>14</v>
      </c>
      <c r="Z8" s="133" t="s">
        <v>14</v>
      </c>
    </row>
    <row r="9" spans="2:10" ht="15.75" thickBot="1">
      <c r="B9" s="4"/>
      <c r="C9" s="5"/>
      <c r="D9" s="5"/>
      <c r="E9" s="5"/>
      <c r="F9" s="5"/>
      <c r="G9" s="4"/>
      <c r="H9" s="6"/>
      <c r="I9" s="4"/>
      <c r="J9" s="6"/>
    </row>
    <row r="10" ht="4.5" customHeight="1" thickBot="1"/>
    <row r="11" spans="2:22" ht="19.5" thickBot="1">
      <c r="B11" s="18" t="s">
        <v>26</v>
      </c>
      <c r="C11" s="19"/>
      <c r="D11" s="19"/>
      <c r="E11" s="19"/>
      <c r="F11" s="19"/>
      <c r="G11" s="148">
        <v>2020</v>
      </c>
      <c r="H11" s="146"/>
      <c r="I11" s="146"/>
      <c r="J11" s="147"/>
      <c r="K11" s="148">
        <v>2021</v>
      </c>
      <c r="L11" s="146"/>
      <c r="M11" s="146"/>
      <c r="N11" s="147"/>
      <c r="O11" s="148">
        <v>2022</v>
      </c>
      <c r="P11" s="146"/>
      <c r="Q11" s="146"/>
      <c r="R11" s="147"/>
      <c r="S11" s="148">
        <v>2023</v>
      </c>
      <c r="T11" s="146"/>
      <c r="U11" s="146"/>
      <c r="V11" s="147"/>
    </row>
    <row r="12" spans="2:22" ht="6" customHeight="1">
      <c r="B12" s="7"/>
      <c r="C12" s="10"/>
      <c r="D12" s="10"/>
      <c r="E12" s="10"/>
      <c r="F12" s="8"/>
      <c r="G12" s="7"/>
      <c r="H12" s="10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</row>
    <row r="13" spans="2:22" ht="15">
      <c r="B13" s="1"/>
      <c r="C13" s="2"/>
      <c r="D13" s="2"/>
      <c r="E13" s="2"/>
      <c r="F13" s="3"/>
      <c r="G13" s="144" t="s">
        <v>13</v>
      </c>
      <c r="H13" s="145"/>
      <c r="I13" s="144" t="s">
        <v>14</v>
      </c>
      <c r="J13" s="145"/>
      <c r="K13" s="144" t="s">
        <v>13</v>
      </c>
      <c r="L13" s="145"/>
      <c r="M13" s="144" t="s">
        <v>14</v>
      </c>
      <c r="N13" s="145"/>
      <c r="O13" s="144" t="s">
        <v>13</v>
      </c>
      <c r="P13" s="145"/>
      <c r="Q13" s="144" t="s">
        <v>14</v>
      </c>
      <c r="R13" s="145"/>
      <c r="S13" s="144" t="s">
        <v>13</v>
      </c>
      <c r="T13" s="145"/>
      <c r="U13" s="144" t="s">
        <v>14</v>
      </c>
      <c r="V13" s="145"/>
    </row>
    <row r="14" spans="2:22" ht="4.5" customHeight="1">
      <c r="B14" s="1"/>
      <c r="C14" s="2"/>
      <c r="D14" s="2"/>
      <c r="E14" s="2"/>
      <c r="F14" s="3"/>
      <c r="G14" s="9"/>
      <c r="H14" s="2"/>
      <c r="I14" s="9"/>
      <c r="J14" s="3"/>
      <c r="K14" s="9"/>
      <c r="L14" s="3"/>
      <c r="M14" s="9"/>
      <c r="N14" s="3"/>
      <c r="O14" s="9"/>
      <c r="P14" s="3"/>
      <c r="Q14" s="9"/>
      <c r="R14" s="3"/>
      <c r="S14" s="9"/>
      <c r="T14" s="3"/>
      <c r="U14" s="9"/>
      <c r="V14" s="3"/>
    </row>
    <row r="15" spans="2:22" ht="15">
      <c r="B15" s="1" t="s">
        <v>15</v>
      </c>
      <c r="C15" s="2"/>
      <c r="D15" s="2" t="s">
        <v>24</v>
      </c>
      <c r="E15" s="2"/>
      <c r="F15" s="3"/>
      <c r="G15" s="1">
        <v>66.37</v>
      </c>
      <c r="H15" s="3" t="s">
        <v>21</v>
      </c>
      <c r="I15" s="12">
        <f>+G15*($D$31+1)</f>
        <v>71.0159</v>
      </c>
      <c r="J15" s="3" t="s">
        <v>21</v>
      </c>
      <c r="K15" s="12">
        <v>67.54</v>
      </c>
      <c r="L15" s="3" t="s">
        <v>21</v>
      </c>
      <c r="M15" s="12">
        <f>+K15*($D$31+1)</f>
        <v>72.26780000000001</v>
      </c>
      <c r="N15" s="3" t="s">
        <v>21</v>
      </c>
      <c r="O15" s="12">
        <v>68.41</v>
      </c>
      <c r="P15" s="3" t="s">
        <v>21</v>
      </c>
      <c r="Q15" s="12">
        <f>+O15*($D$31+1)</f>
        <v>73.1987</v>
      </c>
      <c r="R15" s="3" t="s">
        <v>21</v>
      </c>
      <c r="S15" s="12">
        <v>70.97</v>
      </c>
      <c r="T15" s="3" t="s">
        <v>21</v>
      </c>
      <c r="U15" s="12">
        <f>+S15*($D$31+1)</f>
        <v>75.9379</v>
      </c>
      <c r="V15" s="3" t="s">
        <v>21</v>
      </c>
    </row>
    <row r="16" spans="2:22" ht="15">
      <c r="B16" s="1" t="s">
        <v>17</v>
      </c>
      <c r="C16" s="2"/>
      <c r="D16" s="2" t="s">
        <v>25</v>
      </c>
      <c r="E16" s="2"/>
      <c r="F16" s="3"/>
      <c r="G16" s="1">
        <v>53.83</v>
      </c>
      <c r="H16" s="3" t="s">
        <v>21</v>
      </c>
      <c r="I16" s="12">
        <f>+G16*($D$31+1)</f>
        <v>57.5981</v>
      </c>
      <c r="J16" s="3" t="s">
        <v>21</v>
      </c>
      <c r="K16" s="12">
        <v>54.77</v>
      </c>
      <c r="L16" s="3" t="s">
        <v>21</v>
      </c>
      <c r="M16" s="12">
        <f>+K16*($D$31+1)</f>
        <v>58.60390000000001</v>
      </c>
      <c r="N16" s="3" t="s">
        <v>21</v>
      </c>
      <c r="O16" s="12">
        <v>55.48</v>
      </c>
      <c r="P16" s="3" t="s">
        <v>21</v>
      </c>
      <c r="Q16" s="12">
        <f>+O16*($D$31+1)</f>
        <v>59.3636</v>
      </c>
      <c r="R16" s="3" t="s">
        <v>21</v>
      </c>
      <c r="S16" s="12">
        <v>57.56</v>
      </c>
      <c r="T16" s="3" t="s">
        <v>21</v>
      </c>
      <c r="U16" s="12">
        <f>+S16*($D$31+1)</f>
        <v>61.589200000000005</v>
      </c>
      <c r="V16" s="3" t="s">
        <v>21</v>
      </c>
    </row>
    <row r="17" spans="2:22" ht="15">
      <c r="B17" s="1" t="s">
        <v>18</v>
      </c>
      <c r="C17" s="2"/>
      <c r="D17" s="2" t="s">
        <v>32</v>
      </c>
      <c r="E17" s="2"/>
      <c r="F17" s="3"/>
      <c r="G17" s="1">
        <v>49.13</v>
      </c>
      <c r="H17" s="3" t="s">
        <v>21</v>
      </c>
      <c r="I17" s="12">
        <f>+G17*($D$31+1)</f>
        <v>52.569100000000006</v>
      </c>
      <c r="J17" s="3" t="s">
        <v>21</v>
      </c>
      <c r="K17" s="12">
        <v>49.99</v>
      </c>
      <c r="L17" s="3" t="s">
        <v>21</v>
      </c>
      <c r="M17" s="12">
        <f>+K17*($D$31+1)</f>
        <v>53.48930000000001</v>
      </c>
      <c r="N17" s="3" t="s">
        <v>21</v>
      </c>
      <c r="O17" s="12">
        <v>50.63</v>
      </c>
      <c r="P17" s="3" t="s">
        <v>21</v>
      </c>
      <c r="Q17" s="12">
        <f>+O17*($D$31+1)</f>
        <v>54.1741</v>
      </c>
      <c r="R17" s="3" t="s">
        <v>21</v>
      </c>
      <c r="S17" s="12">
        <v>52.53</v>
      </c>
      <c r="T17" s="3" t="s">
        <v>21</v>
      </c>
      <c r="U17" s="12">
        <f>+S17*($D$31+1)</f>
        <v>56.207100000000004</v>
      </c>
      <c r="V17" s="3" t="s">
        <v>21</v>
      </c>
    </row>
    <row r="18" spans="2:26" ht="15">
      <c r="B18" s="75" t="s">
        <v>57</v>
      </c>
      <c r="C18" s="53"/>
      <c r="D18" s="53"/>
      <c r="E18" s="53"/>
      <c r="F18" s="55"/>
      <c r="G18" s="52">
        <f>60.21+0.31</f>
        <v>60.52</v>
      </c>
      <c r="H18" s="53" t="s">
        <v>16</v>
      </c>
      <c r="I18" s="54">
        <f>+G18*($D$31+1)</f>
        <v>64.75640000000001</v>
      </c>
      <c r="J18" s="55" t="s">
        <v>16</v>
      </c>
      <c r="K18" s="54">
        <f>55.77+0.31+K29</f>
        <v>56.760000000000005</v>
      </c>
      <c r="L18" s="55" t="s">
        <v>16</v>
      </c>
      <c r="M18" s="54">
        <f>+K18*($D$31+1)</f>
        <v>60.73320000000001</v>
      </c>
      <c r="N18" s="55" t="s">
        <v>16</v>
      </c>
      <c r="O18" s="54">
        <f>59.57+0.31+O29</f>
        <v>60.75</v>
      </c>
      <c r="P18" s="55" t="s">
        <v>16</v>
      </c>
      <c r="Q18" s="54">
        <f>+O18*($D$31+1)</f>
        <v>65.0025</v>
      </c>
      <c r="R18" s="55" t="s">
        <v>16</v>
      </c>
      <c r="S18" s="54">
        <f>108.13+0.31+S29</f>
        <v>109.42999999999999</v>
      </c>
      <c r="T18" s="55" t="s">
        <v>16</v>
      </c>
      <c r="U18" s="54">
        <f>+S18*($D$31+1)</f>
        <v>117.09009999999999</v>
      </c>
      <c r="V18" s="55" t="s">
        <v>16</v>
      </c>
      <c r="W18" s="132">
        <f>+(S18/O18)-1</f>
        <v>0.8013168724279833</v>
      </c>
      <c r="X18" s="61">
        <f>+S18-O18</f>
        <v>48.67999999999999</v>
      </c>
      <c r="Y18" s="132">
        <f>+(U18/Q18)-1</f>
        <v>0.8013168724279836</v>
      </c>
      <c r="Z18" s="61">
        <f>+U18-Q18</f>
        <v>52.087599999999995</v>
      </c>
    </row>
    <row r="19" spans="2:22" ht="15.75" thickBot="1">
      <c r="B19" s="76" t="s">
        <v>58</v>
      </c>
      <c r="C19" s="77"/>
      <c r="D19" s="77"/>
      <c r="E19" s="77"/>
      <c r="F19" s="78"/>
      <c r="G19" s="79"/>
      <c r="H19" s="77"/>
      <c r="I19" s="79"/>
      <c r="J19" s="78"/>
      <c r="K19" s="79"/>
      <c r="L19" s="78"/>
      <c r="M19" s="79"/>
      <c r="N19" s="78"/>
      <c r="O19" s="79"/>
      <c r="P19" s="78"/>
      <c r="Q19" s="79"/>
      <c r="R19" s="78"/>
      <c r="S19" s="79"/>
      <c r="T19" s="78"/>
      <c r="U19" s="79">
        <f>95+(0.31+S29)*(1+D31)</f>
        <v>96.391</v>
      </c>
      <c r="V19" s="78" t="s">
        <v>72</v>
      </c>
    </row>
    <row r="20" ht="15" customHeight="1" thickBot="1"/>
    <row r="21" spans="2:22" ht="19.5" thickBot="1">
      <c r="B21" s="18" t="s">
        <v>37</v>
      </c>
      <c r="C21" s="49"/>
      <c r="D21" s="49" t="s">
        <v>33</v>
      </c>
      <c r="E21" s="51" t="s">
        <v>34</v>
      </c>
      <c r="F21" s="72" t="s">
        <v>49</v>
      </c>
      <c r="G21" s="146">
        <v>2020</v>
      </c>
      <c r="H21" s="146"/>
      <c r="I21" s="146"/>
      <c r="J21" s="147"/>
      <c r="K21" s="148">
        <v>2021</v>
      </c>
      <c r="L21" s="146"/>
      <c r="M21" s="146"/>
      <c r="N21" s="147"/>
      <c r="O21" s="148">
        <v>2022</v>
      </c>
      <c r="P21" s="146"/>
      <c r="Q21" s="146"/>
      <c r="R21" s="147"/>
      <c r="S21" s="148">
        <v>2023</v>
      </c>
      <c r="T21" s="146"/>
      <c r="U21" s="146"/>
      <c r="V21" s="147"/>
    </row>
    <row r="22" spans="2:22" ht="6.75" customHeight="1">
      <c r="B22" s="1"/>
      <c r="C22" s="2"/>
      <c r="D22" s="2"/>
      <c r="E22" s="2"/>
      <c r="F22" s="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/>
      <c r="S22" s="23"/>
      <c r="T22" s="24"/>
      <c r="U22" s="24"/>
      <c r="V22" s="28"/>
    </row>
    <row r="23" spans="2:22" ht="15">
      <c r="B23" s="1" t="s">
        <v>15</v>
      </c>
      <c r="C23" s="2"/>
      <c r="D23" s="2" t="s">
        <v>24</v>
      </c>
      <c r="E23" s="2"/>
      <c r="F23" s="3"/>
      <c r="G23" s="24"/>
      <c r="H23" s="24"/>
      <c r="I23" s="24"/>
      <c r="J23" s="24"/>
      <c r="K23" s="50">
        <f>+K15/G15-1</f>
        <v>0.01762844658731355</v>
      </c>
      <c r="L23" s="24"/>
      <c r="M23" s="24"/>
      <c r="N23" s="24"/>
      <c r="O23" s="50">
        <f>+O15/G15-1</f>
        <v>0.030736778665059417</v>
      </c>
      <c r="P23" s="56">
        <f>+O15/K15-1</f>
        <v>0.01288125555226527</v>
      </c>
      <c r="Q23" s="69"/>
      <c r="R23" s="28"/>
      <c r="S23" s="71">
        <f>+S15/G15-1</f>
        <v>0.06930842248003599</v>
      </c>
      <c r="T23" s="56">
        <f>+S15/K15-1</f>
        <v>0.05078472016582758</v>
      </c>
      <c r="U23" s="69">
        <f>+S15/O15-1</f>
        <v>0.03742142961555328</v>
      </c>
      <c r="V23" s="28"/>
    </row>
    <row r="24" spans="2:22" ht="15">
      <c r="B24" s="1" t="s">
        <v>17</v>
      </c>
      <c r="C24" s="2"/>
      <c r="D24" s="2" t="s">
        <v>25</v>
      </c>
      <c r="E24" s="2"/>
      <c r="F24" s="3"/>
      <c r="G24" s="24"/>
      <c r="H24" s="24"/>
      <c r="I24" s="24"/>
      <c r="J24" s="24"/>
      <c r="K24" s="50">
        <f>+K16/G16-1</f>
        <v>0.017462381571614394</v>
      </c>
      <c r="L24" s="24"/>
      <c r="M24" s="24"/>
      <c r="N24" s="24"/>
      <c r="O24" s="50">
        <f>+O16/G16-1</f>
        <v>0.030652052758684656</v>
      </c>
      <c r="P24" s="56">
        <f>+O16/K16-1</f>
        <v>0.01296330107723187</v>
      </c>
      <c r="Q24" s="69"/>
      <c r="R24" s="28"/>
      <c r="S24" s="71">
        <f>+S16/G16-1</f>
        <v>0.06929221623629944</v>
      </c>
      <c r="T24" s="56">
        <f>+S16/K16-1</f>
        <v>0.05094029578236259</v>
      </c>
      <c r="U24" s="69">
        <f>+S16/O16-1</f>
        <v>0.03749098774333093</v>
      </c>
      <c r="V24" s="28"/>
    </row>
    <row r="25" spans="2:22" ht="15">
      <c r="B25" s="1" t="s">
        <v>18</v>
      </c>
      <c r="C25" s="2"/>
      <c r="D25" s="2" t="s">
        <v>32</v>
      </c>
      <c r="E25" s="2"/>
      <c r="F25" s="3"/>
      <c r="G25" s="24"/>
      <c r="H25" s="24"/>
      <c r="I25" s="24"/>
      <c r="J25" s="24"/>
      <c r="K25" s="50">
        <f>+K17/G17-1</f>
        <v>0.01750457968654584</v>
      </c>
      <c r="L25" s="24"/>
      <c r="M25" s="24"/>
      <c r="N25" s="24"/>
      <c r="O25" s="50">
        <f>+O17/G17-1</f>
        <v>0.030531243639324135</v>
      </c>
      <c r="P25" s="56">
        <f>+O17/K17-1</f>
        <v>0.01280256051210249</v>
      </c>
      <c r="Q25" s="69"/>
      <c r="R25" s="28"/>
      <c r="S25" s="71">
        <f>+S17/G17-1</f>
        <v>0.0692041522491349</v>
      </c>
      <c r="T25" s="56">
        <f>+S17/K17-1</f>
        <v>0.0508101620324064</v>
      </c>
      <c r="U25" s="69">
        <f>+S17/O17-1</f>
        <v>0.03752715781157412</v>
      </c>
      <c r="V25" s="28"/>
    </row>
    <row r="26" spans="2:22" ht="15">
      <c r="B26" s="70" t="s">
        <v>38</v>
      </c>
      <c r="C26" s="2"/>
      <c r="D26" s="2"/>
      <c r="E26" s="2"/>
      <c r="F26" s="3"/>
      <c r="G26" s="24"/>
      <c r="H26" s="24"/>
      <c r="I26" s="24"/>
      <c r="J26" s="24"/>
      <c r="K26" s="50">
        <f>+K18/G18-1</f>
        <v>-0.06212822207534696</v>
      </c>
      <c r="L26" s="24"/>
      <c r="M26" s="24"/>
      <c r="N26" s="24"/>
      <c r="O26" s="50">
        <f>+O18/G18-1</f>
        <v>0.003800396563119479</v>
      </c>
      <c r="P26" s="56">
        <f>+O18/K18-1</f>
        <v>0.07029598308668072</v>
      </c>
      <c r="Q26" s="69"/>
      <c r="R26" s="28"/>
      <c r="S26" s="71">
        <f>+S18/G18-1</f>
        <v>0.808162590879048</v>
      </c>
      <c r="T26" s="56">
        <f>+S18/K18-1</f>
        <v>0.9279422128259334</v>
      </c>
      <c r="U26" s="69">
        <f>+S18/O18-1</f>
        <v>0.8013168724279833</v>
      </c>
      <c r="V26" s="28"/>
    </row>
    <row r="27" spans="2:22" ht="5.25" customHeight="1" thickBot="1">
      <c r="B27" s="4"/>
      <c r="C27" s="5"/>
      <c r="D27" s="5"/>
      <c r="E27" s="5"/>
      <c r="F27" s="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8"/>
      <c r="T27" s="39"/>
      <c r="U27" s="39"/>
      <c r="V27" s="40"/>
    </row>
    <row r="29" spans="2:22" ht="18">
      <c r="B29" s="57" t="s">
        <v>35</v>
      </c>
      <c r="K29" s="57">
        <v>0.68</v>
      </c>
      <c r="L29" s="57" t="s">
        <v>21</v>
      </c>
      <c r="M29" s="58">
        <f>+K29*($D$31+1)</f>
        <v>0.7276000000000001</v>
      </c>
      <c r="N29" s="57" t="s">
        <v>21</v>
      </c>
      <c r="O29" s="57">
        <v>0.87</v>
      </c>
      <c r="P29" s="57" t="s">
        <v>21</v>
      </c>
      <c r="Q29" s="58">
        <f>+O29*($D$31+1)</f>
        <v>0.9309000000000001</v>
      </c>
      <c r="R29" s="57" t="s">
        <v>21</v>
      </c>
      <c r="S29" s="57">
        <v>0.99</v>
      </c>
      <c r="T29" s="57" t="s">
        <v>21</v>
      </c>
      <c r="U29" s="58">
        <f>+S29*($D$31+1)</f>
        <v>1.0593000000000001</v>
      </c>
      <c r="V29" s="57" t="s">
        <v>21</v>
      </c>
    </row>
    <row r="30" spans="11:19" ht="15">
      <c r="K30" s="68" t="s">
        <v>42</v>
      </c>
      <c r="O30" s="68" t="s">
        <v>42</v>
      </c>
      <c r="S30" s="68" t="s">
        <v>41</v>
      </c>
    </row>
    <row r="31" spans="2:4" ht="15">
      <c r="B31" t="s">
        <v>54</v>
      </c>
      <c r="C31" s="42"/>
      <c r="D31">
        <v>0.07</v>
      </c>
    </row>
    <row r="32" ht="15">
      <c r="D32" s="80"/>
    </row>
  </sheetData>
  <sheetProtection/>
  <mergeCells count="19">
    <mergeCell ref="S11:V11"/>
    <mergeCell ref="M13:N13"/>
    <mergeCell ref="O13:P13"/>
    <mergeCell ref="Q13:R13"/>
    <mergeCell ref="G4:H4"/>
    <mergeCell ref="I4:J4"/>
    <mergeCell ref="G11:J11"/>
    <mergeCell ref="K11:N11"/>
    <mergeCell ref="O11:R11"/>
    <mergeCell ref="H2:I2"/>
    <mergeCell ref="S13:T13"/>
    <mergeCell ref="U13:V13"/>
    <mergeCell ref="G21:J21"/>
    <mergeCell ref="K21:N21"/>
    <mergeCell ref="O21:R21"/>
    <mergeCell ref="S21:V21"/>
    <mergeCell ref="G13:H13"/>
    <mergeCell ref="I13:J13"/>
    <mergeCell ref="K13:L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Z32"/>
  <sheetViews>
    <sheetView zoomScalePageLayoutView="0" workbookViewId="0" topLeftCell="A1">
      <selection activeCell="D31" sqref="D31"/>
    </sheetView>
  </sheetViews>
  <sheetFormatPr defaultColWidth="11.421875" defaultRowHeight="15"/>
  <cols>
    <col min="2" max="2" width="19.140625" style="0" customWidth="1"/>
    <col min="3" max="3" width="14.00390625" style="0" customWidth="1"/>
    <col min="4" max="5" width="13.8515625" style="0" customWidth="1"/>
    <col min="6" max="6" width="13.7109375" style="0" customWidth="1"/>
    <col min="8" max="8" width="8.140625" style="0" customWidth="1"/>
    <col min="10" max="10" width="9.00390625" style="0" customWidth="1"/>
    <col min="11" max="11" width="7.8515625" style="0" customWidth="1"/>
    <col min="12" max="12" width="8.8515625" style="0" customWidth="1"/>
    <col min="13" max="13" width="7.8515625" style="0" customWidth="1"/>
    <col min="14" max="14" width="8.7109375" style="0" customWidth="1"/>
    <col min="15" max="15" width="7.140625" style="0" customWidth="1"/>
    <col min="17" max="17" width="7.7109375" style="0" customWidth="1"/>
    <col min="19" max="19" width="8.57421875" style="0" customWidth="1"/>
    <col min="21" max="21" width="8.28125" style="0" customWidth="1"/>
  </cols>
  <sheetData>
    <row r="1" ht="15.75" thickBot="1"/>
    <row r="2" spans="2:21" ht="19.5" thickBot="1">
      <c r="B2" s="18" t="s">
        <v>27</v>
      </c>
      <c r="C2" s="13"/>
      <c r="D2" s="14"/>
      <c r="E2" s="14"/>
      <c r="F2" s="14"/>
      <c r="G2" s="14"/>
      <c r="H2" s="149">
        <v>2023</v>
      </c>
      <c r="I2" s="149"/>
      <c r="J2" s="17"/>
      <c r="N2" s="68" t="s">
        <v>39</v>
      </c>
      <c r="Q2" s="68" t="s">
        <v>39</v>
      </c>
      <c r="U2" s="68" t="s">
        <v>39</v>
      </c>
    </row>
    <row r="3" spans="2:10" ht="6" customHeight="1">
      <c r="B3" s="1"/>
      <c r="C3" s="2"/>
      <c r="D3" s="2"/>
      <c r="E3" s="2"/>
      <c r="F3" s="2"/>
      <c r="G3" s="7"/>
      <c r="H3" s="8"/>
      <c r="I3" s="7"/>
      <c r="J3" s="8"/>
    </row>
    <row r="4" spans="2:10" ht="15">
      <c r="B4" s="1"/>
      <c r="C4" s="2"/>
      <c r="D4" s="2"/>
      <c r="E4" s="2"/>
      <c r="F4" s="2"/>
      <c r="G4" s="144" t="s">
        <v>13</v>
      </c>
      <c r="H4" s="145"/>
      <c r="I4" s="144" t="s">
        <v>14</v>
      </c>
      <c r="J4" s="145"/>
    </row>
    <row r="5" spans="2:10" ht="5.25" customHeight="1">
      <c r="B5" s="1"/>
      <c r="C5" s="2"/>
      <c r="D5" s="2"/>
      <c r="E5" s="2"/>
      <c r="F5" s="2"/>
      <c r="G5" s="11"/>
      <c r="H5" s="3"/>
      <c r="I5" s="134"/>
      <c r="J5" s="3"/>
    </row>
    <row r="6" spans="2:10" ht="15">
      <c r="B6" s="1" t="s">
        <v>10</v>
      </c>
      <c r="C6" s="2"/>
      <c r="D6" s="2"/>
      <c r="E6" s="2"/>
      <c r="F6" s="2"/>
      <c r="G6" s="1">
        <v>120</v>
      </c>
      <c r="H6" s="3" t="s">
        <v>12</v>
      </c>
      <c r="I6" s="12">
        <f>+G6*($D$31+1)</f>
        <v>128.4</v>
      </c>
      <c r="J6" s="3" t="s">
        <v>12</v>
      </c>
    </row>
    <row r="7" spans="2:10" ht="15">
      <c r="B7" s="1" t="s">
        <v>11</v>
      </c>
      <c r="C7" s="2"/>
      <c r="D7" s="2"/>
      <c r="E7" s="2"/>
      <c r="F7" s="2"/>
      <c r="G7" s="1">
        <v>12</v>
      </c>
      <c r="H7" s="3" t="s">
        <v>9</v>
      </c>
      <c r="I7" s="12">
        <f>+G7*($D$31+1)</f>
        <v>12.84</v>
      </c>
      <c r="J7" s="3" t="s">
        <v>9</v>
      </c>
    </row>
    <row r="8" spans="2:26" ht="15">
      <c r="B8" s="1" t="s">
        <v>36</v>
      </c>
      <c r="C8" s="2"/>
      <c r="D8" s="2"/>
      <c r="E8" s="2"/>
      <c r="F8" s="2"/>
      <c r="G8" s="1">
        <f>84.8+0.31</f>
        <v>85.11</v>
      </c>
      <c r="H8" s="3" t="s">
        <v>16</v>
      </c>
      <c r="I8" s="12">
        <f>+G8*($D$31+1)</f>
        <v>91.0677</v>
      </c>
      <c r="J8" s="3" t="s">
        <v>16</v>
      </c>
      <c r="N8" s="61">
        <f>+I8+M29</f>
        <v>91.7953</v>
      </c>
      <c r="Q8" s="61">
        <f>+I8+Q29</f>
        <v>92.127</v>
      </c>
      <c r="R8" s="61"/>
      <c r="U8" s="61">
        <f>+I8+U29</f>
        <v>92.127</v>
      </c>
      <c r="W8" s="133" t="s">
        <v>64</v>
      </c>
      <c r="X8" s="133" t="s">
        <v>13</v>
      </c>
      <c r="Y8" s="133" t="s">
        <v>14</v>
      </c>
      <c r="Z8" s="133" t="s">
        <v>14</v>
      </c>
    </row>
    <row r="9" spans="2:10" ht="15.75" thickBot="1">
      <c r="B9" s="4"/>
      <c r="C9" s="5"/>
      <c r="D9" s="5"/>
      <c r="E9" s="5"/>
      <c r="F9" s="5"/>
      <c r="G9" s="4"/>
      <c r="H9" s="6"/>
      <c r="I9" s="4"/>
      <c r="J9" s="6"/>
    </row>
    <row r="10" ht="4.5" customHeight="1" thickBot="1"/>
    <row r="11" spans="2:22" ht="19.5" thickBot="1">
      <c r="B11" s="18" t="s">
        <v>26</v>
      </c>
      <c r="C11" s="19"/>
      <c r="D11" s="19"/>
      <c r="E11" s="19"/>
      <c r="F11" s="19"/>
      <c r="G11" s="148">
        <v>2020</v>
      </c>
      <c r="H11" s="146"/>
      <c r="I11" s="146"/>
      <c r="J11" s="147"/>
      <c r="K11" s="148">
        <v>2021</v>
      </c>
      <c r="L11" s="146"/>
      <c r="M11" s="146"/>
      <c r="N11" s="147"/>
      <c r="O11" s="148">
        <v>2022</v>
      </c>
      <c r="P11" s="146"/>
      <c r="Q11" s="146"/>
      <c r="R11" s="147"/>
      <c r="S11" s="148">
        <v>2023</v>
      </c>
      <c r="T11" s="146"/>
      <c r="U11" s="146"/>
      <c r="V11" s="147"/>
    </row>
    <row r="12" spans="2:22" ht="6" customHeight="1">
      <c r="B12" s="7"/>
      <c r="C12" s="10"/>
      <c r="D12" s="10"/>
      <c r="E12" s="10"/>
      <c r="F12" s="8"/>
      <c r="G12" s="7"/>
      <c r="H12" s="10"/>
      <c r="I12" s="7"/>
      <c r="J12" s="8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</row>
    <row r="13" spans="2:22" ht="15">
      <c r="B13" s="1"/>
      <c r="C13" s="2"/>
      <c r="D13" s="2"/>
      <c r="E13" s="2"/>
      <c r="F13" s="3"/>
      <c r="G13" s="144" t="s">
        <v>13</v>
      </c>
      <c r="H13" s="145"/>
      <c r="I13" s="144" t="s">
        <v>14</v>
      </c>
      <c r="J13" s="145"/>
      <c r="K13" s="144" t="s">
        <v>13</v>
      </c>
      <c r="L13" s="145"/>
      <c r="M13" s="144" t="s">
        <v>14</v>
      </c>
      <c r="N13" s="145"/>
      <c r="O13" s="144" t="s">
        <v>13</v>
      </c>
      <c r="P13" s="145"/>
      <c r="Q13" s="144" t="s">
        <v>14</v>
      </c>
      <c r="R13" s="145"/>
      <c r="S13" s="144" t="s">
        <v>13</v>
      </c>
      <c r="T13" s="145"/>
      <c r="U13" s="144" t="s">
        <v>14</v>
      </c>
      <c r="V13" s="145"/>
    </row>
    <row r="14" spans="2:22" ht="4.5" customHeight="1">
      <c r="B14" s="1"/>
      <c r="C14" s="2"/>
      <c r="D14" s="2"/>
      <c r="E14" s="2"/>
      <c r="F14" s="3"/>
      <c r="G14" s="9"/>
      <c r="H14" s="2"/>
      <c r="I14" s="9"/>
      <c r="J14" s="3"/>
      <c r="K14" s="9"/>
      <c r="L14" s="3"/>
      <c r="M14" s="9"/>
      <c r="N14" s="3"/>
      <c r="O14" s="9"/>
      <c r="P14" s="3"/>
      <c r="Q14" s="9"/>
      <c r="R14" s="3"/>
      <c r="S14" s="9"/>
      <c r="T14" s="3"/>
      <c r="U14" s="9"/>
      <c r="V14" s="3"/>
    </row>
    <row r="15" spans="2:22" ht="15">
      <c r="B15" s="1" t="s">
        <v>15</v>
      </c>
      <c r="C15" s="2"/>
      <c r="D15" s="2" t="s">
        <v>65</v>
      </c>
      <c r="E15" s="2"/>
      <c r="F15" s="3"/>
      <c r="G15" s="1">
        <v>66.37</v>
      </c>
      <c r="H15" s="3" t="s">
        <v>21</v>
      </c>
      <c r="I15" s="12">
        <f>+G15*($D$31+1)</f>
        <v>71.0159</v>
      </c>
      <c r="J15" s="3" t="s">
        <v>21</v>
      </c>
      <c r="K15" s="12">
        <v>67.54</v>
      </c>
      <c r="L15" s="3" t="s">
        <v>21</v>
      </c>
      <c r="M15" s="12">
        <f>+K15*($D$31+1)</f>
        <v>72.26780000000001</v>
      </c>
      <c r="N15" s="3" t="s">
        <v>21</v>
      </c>
      <c r="O15" s="12">
        <v>68.41</v>
      </c>
      <c r="P15" s="3" t="s">
        <v>21</v>
      </c>
      <c r="Q15" s="12">
        <f>+O15*($D$31+1)</f>
        <v>73.1987</v>
      </c>
      <c r="R15" s="3" t="s">
        <v>21</v>
      </c>
      <c r="S15" s="12">
        <v>106.86</v>
      </c>
      <c r="T15" s="3" t="s">
        <v>21</v>
      </c>
      <c r="U15" s="12">
        <f>+S15*($D$31+1)</f>
        <v>114.34020000000001</v>
      </c>
      <c r="V15" s="3" t="s">
        <v>21</v>
      </c>
    </row>
    <row r="16" spans="2:22" ht="15">
      <c r="B16" s="1" t="s">
        <v>17</v>
      </c>
      <c r="C16" s="2"/>
      <c r="D16" s="2" t="s">
        <v>66</v>
      </c>
      <c r="E16" s="2"/>
      <c r="F16" s="3"/>
      <c r="G16" s="1">
        <v>53.83</v>
      </c>
      <c r="H16" s="3" t="s">
        <v>21</v>
      </c>
      <c r="I16" s="12">
        <f>+G16*($D$31+1)</f>
        <v>57.5981</v>
      </c>
      <c r="J16" s="3" t="s">
        <v>21</v>
      </c>
      <c r="K16" s="12">
        <v>54.77</v>
      </c>
      <c r="L16" s="3" t="s">
        <v>21</v>
      </c>
      <c r="M16" s="12">
        <f>+K16*($D$31+1)</f>
        <v>58.60390000000001</v>
      </c>
      <c r="N16" s="3" t="s">
        <v>21</v>
      </c>
      <c r="O16" s="12">
        <v>55.48</v>
      </c>
      <c r="P16" s="3" t="s">
        <v>21</v>
      </c>
      <c r="Q16" s="12">
        <f>+O16*($D$31+1)</f>
        <v>59.3636</v>
      </c>
      <c r="R16" s="3" t="s">
        <v>21</v>
      </c>
      <c r="S16" s="12">
        <v>18.42</v>
      </c>
      <c r="T16" s="3" t="s">
        <v>21</v>
      </c>
      <c r="U16" s="12">
        <f>+S16*($D$31+1)</f>
        <v>19.709400000000002</v>
      </c>
      <c r="V16" s="3" t="s">
        <v>21</v>
      </c>
    </row>
    <row r="17" spans="2:22" ht="15">
      <c r="B17" s="1" t="s">
        <v>67</v>
      </c>
      <c r="C17" s="2"/>
      <c r="D17" s="2"/>
      <c r="E17" s="2"/>
      <c r="F17" s="3"/>
      <c r="G17" s="1">
        <v>49.13</v>
      </c>
      <c r="H17" s="3" t="s">
        <v>21</v>
      </c>
      <c r="I17" s="12">
        <f>+G17*($D$31+1)</f>
        <v>52.569100000000006</v>
      </c>
      <c r="J17" s="3" t="s">
        <v>21</v>
      </c>
      <c r="K17" s="12">
        <v>49.99</v>
      </c>
      <c r="L17" s="3" t="s">
        <v>21</v>
      </c>
      <c r="M17" s="12">
        <f>+K17*($D$31+1)</f>
        <v>53.48930000000001</v>
      </c>
      <c r="N17" s="3" t="s">
        <v>21</v>
      </c>
      <c r="O17" s="12">
        <v>50.63</v>
      </c>
      <c r="P17" s="3" t="s">
        <v>21</v>
      </c>
      <c r="Q17" s="12">
        <f>+O17*($D$31+1)</f>
        <v>54.1741</v>
      </c>
      <c r="R17" s="3" t="s">
        <v>21</v>
      </c>
      <c r="S17" s="12">
        <v>52.53</v>
      </c>
      <c r="T17" s="3" t="s">
        <v>21</v>
      </c>
      <c r="U17" s="12">
        <f>+S17*($D$31+1)</f>
        <v>56.207100000000004</v>
      </c>
      <c r="V17" s="3" t="s">
        <v>21</v>
      </c>
    </row>
    <row r="18" spans="2:26" ht="15">
      <c r="B18" s="75" t="s">
        <v>57</v>
      </c>
      <c r="C18" s="53"/>
      <c r="D18" s="53"/>
      <c r="E18" s="53"/>
      <c r="F18" s="55"/>
      <c r="G18" s="52">
        <f>60.21+0.31</f>
        <v>60.52</v>
      </c>
      <c r="H18" s="53" t="s">
        <v>16</v>
      </c>
      <c r="I18" s="54">
        <f>+G18*($D$31+1)</f>
        <v>64.75640000000001</v>
      </c>
      <c r="J18" s="55" t="s">
        <v>16</v>
      </c>
      <c r="K18" s="54">
        <f>55.77+0.31+K29</f>
        <v>56.760000000000005</v>
      </c>
      <c r="L18" s="55" t="s">
        <v>16</v>
      </c>
      <c r="M18" s="54">
        <f>+K18*($D$31+1)</f>
        <v>60.73320000000001</v>
      </c>
      <c r="N18" s="55" t="s">
        <v>16</v>
      </c>
      <c r="O18" s="54">
        <f>59.57</f>
        <v>59.57</v>
      </c>
      <c r="P18" s="55" t="s">
        <v>16</v>
      </c>
      <c r="Q18" s="54">
        <f>+O18*($D$31+1)</f>
        <v>63.739900000000006</v>
      </c>
      <c r="R18" s="55" t="s">
        <v>16</v>
      </c>
      <c r="S18" s="54">
        <v>107.12</v>
      </c>
      <c r="T18" s="55" t="s">
        <v>16</v>
      </c>
      <c r="U18" s="54">
        <f>+S18*($D$31+1)</f>
        <v>114.61840000000001</v>
      </c>
      <c r="V18" s="55" t="s">
        <v>16</v>
      </c>
      <c r="W18" s="132">
        <f>+(S18/O18)-1</f>
        <v>0.7982205808292766</v>
      </c>
      <c r="X18" s="61">
        <f>+S18-O18</f>
        <v>47.550000000000004</v>
      </c>
      <c r="Y18" s="132">
        <f>+(U18/Q18)-1</f>
        <v>0.7982205808292764</v>
      </c>
      <c r="Z18" s="61">
        <f>+U18-Q18</f>
        <v>50.8785</v>
      </c>
    </row>
    <row r="19" spans="2:22" ht="15.75" thickBot="1">
      <c r="B19" s="76" t="s">
        <v>58</v>
      </c>
      <c r="C19" s="77"/>
      <c r="D19" s="77"/>
      <c r="E19" s="77"/>
      <c r="F19" s="78"/>
      <c r="G19" s="79"/>
      <c r="H19" s="77"/>
      <c r="I19" s="79"/>
      <c r="J19" s="78"/>
      <c r="K19" s="79"/>
      <c r="L19" s="78"/>
      <c r="M19" s="79"/>
      <c r="N19" s="78"/>
      <c r="O19" s="79"/>
      <c r="P19" s="78"/>
      <c r="Q19" s="79"/>
      <c r="R19" s="78"/>
      <c r="S19" s="79"/>
      <c r="T19" s="78"/>
      <c r="U19" s="79">
        <v>95</v>
      </c>
      <c r="V19" s="78" t="s">
        <v>21</v>
      </c>
    </row>
    <row r="20" ht="15" customHeight="1" thickBot="1"/>
    <row r="21" spans="2:22" ht="19.5" thickBot="1">
      <c r="B21" s="18" t="s">
        <v>37</v>
      </c>
      <c r="C21" s="49"/>
      <c r="D21" s="49" t="s">
        <v>33</v>
      </c>
      <c r="E21" s="51" t="s">
        <v>34</v>
      </c>
      <c r="F21" s="72" t="s">
        <v>49</v>
      </c>
      <c r="G21" s="146">
        <v>2020</v>
      </c>
      <c r="H21" s="146"/>
      <c r="I21" s="146"/>
      <c r="J21" s="147"/>
      <c r="K21" s="148">
        <v>2021</v>
      </c>
      <c r="L21" s="146"/>
      <c r="M21" s="146"/>
      <c r="N21" s="147"/>
      <c r="O21" s="148">
        <v>2022</v>
      </c>
      <c r="P21" s="146"/>
      <c r="Q21" s="146"/>
      <c r="R21" s="147"/>
      <c r="S21" s="148">
        <v>2023</v>
      </c>
      <c r="T21" s="146"/>
      <c r="U21" s="146"/>
      <c r="V21" s="147"/>
    </row>
    <row r="22" spans="2:22" ht="6.75" customHeight="1">
      <c r="B22" s="1"/>
      <c r="C22" s="2"/>
      <c r="D22" s="2"/>
      <c r="E22" s="2"/>
      <c r="F22" s="3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8"/>
      <c r="S22" s="23"/>
      <c r="T22" s="24"/>
      <c r="U22" s="24"/>
      <c r="V22" s="28"/>
    </row>
    <row r="23" spans="2:22" ht="15">
      <c r="B23" s="1" t="s">
        <v>15</v>
      </c>
      <c r="C23" s="2"/>
      <c r="D23" s="2" t="s">
        <v>24</v>
      </c>
      <c r="E23" s="2"/>
      <c r="F23" s="3"/>
      <c r="G23" s="24"/>
      <c r="H23" s="24"/>
      <c r="I23" s="24"/>
      <c r="J23" s="24"/>
      <c r="K23" s="50">
        <f>+K15/G15-1</f>
        <v>0.01762844658731355</v>
      </c>
      <c r="L23" s="24"/>
      <c r="M23" s="24"/>
      <c r="N23" s="24"/>
      <c r="O23" s="50">
        <f>+O15/G15-1</f>
        <v>0.030736778665059417</v>
      </c>
      <c r="P23" s="56">
        <f>+O15/K15-1</f>
        <v>0.01288125555226527</v>
      </c>
      <c r="Q23" s="69"/>
      <c r="R23" s="28"/>
      <c r="S23" s="71">
        <f>+S15/G15-1</f>
        <v>0.6100647883079704</v>
      </c>
      <c r="T23" s="56">
        <f>+S15/K15-1</f>
        <v>0.5821735267989339</v>
      </c>
      <c r="U23" s="69">
        <f>+S15/O15-1</f>
        <v>0.5620523315304782</v>
      </c>
      <c r="V23" s="28"/>
    </row>
    <row r="24" spans="2:22" ht="15">
      <c r="B24" s="1" t="s">
        <v>17</v>
      </c>
      <c r="C24" s="2"/>
      <c r="D24" s="2" t="s">
        <v>25</v>
      </c>
      <c r="E24" s="2"/>
      <c r="F24" s="3"/>
      <c r="G24" s="24"/>
      <c r="H24" s="24"/>
      <c r="I24" s="24"/>
      <c r="J24" s="24"/>
      <c r="K24" s="50">
        <f>+K16/G16-1</f>
        <v>0.017462381571614394</v>
      </c>
      <c r="L24" s="24"/>
      <c r="M24" s="24"/>
      <c r="N24" s="24"/>
      <c r="O24" s="50">
        <f>+O16/G16-1</f>
        <v>0.030652052758684656</v>
      </c>
      <c r="P24" s="56">
        <f>+O16/K16-1</f>
        <v>0.01296330107723187</v>
      </c>
      <c r="Q24" s="69"/>
      <c r="R24" s="28"/>
      <c r="S24" s="71">
        <f>+S16/G16-1</f>
        <v>-0.6578116292030466</v>
      </c>
      <c r="T24" s="56">
        <f>+S16/K16-1</f>
        <v>-0.6636844988132189</v>
      </c>
      <c r="U24" s="69">
        <f>+S16/O16-1</f>
        <v>-0.6679884643114635</v>
      </c>
      <c r="V24" s="28"/>
    </row>
    <row r="25" spans="2:22" ht="15">
      <c r="B25" s="1" t="s">
        <v>18</v>
      </c>
      <c r="C25" s="2"/>
      <c r="D25" s="2" t="s">
        <v>32</v>
      </c>
      <c r="E25" s="2"/>
      <c r="F25" s="3"/>
      <c r="G25" s="24"/>
      <c r="H25" s="24"/>
      <c r="I25" s="24"/>
      <c r="J25" s="24"/>
      <c r="K25" s="50">
        <f>+K17/G17-1</f>
        <v>0.01750457968654584</v>
      </c>
      <c r="L25" s="24"/>
      <c r="M25" s="24"/>
      <c r="N25" s="24"/>
      <c r="O25" s="50">
        <f>+O17/G17-1</f>
        <v>0.030531243639324135</v>
      </c>
      <c r="P25" s="56">
        <f>+O17/K17-1</f>
        <v>0.01280256051210249</v>
      </c>
      <c r="Q25" s="69"/>
      <c r="R25" s="28"/>
      <c r="S25" s="71">
        <f>+S17/G17-1</f>
        <v>0.0692041522491349</v>
      </c>
      <c r="T25" s="56">
        <f>+S17/K17-1</f>
        <v>0.0508101620324064</v>
      </c>
      <c r="U25" s="69">
        <f>+S17/O17-1</f>
        <v>0.03752715781157412</v>
      </c>
      <c r="V25" s="28"/>
    </row>
    <row r="26" spans="2:22" ht="15">
      <c r="B26" s="70" t="s">
        <v>38</v>
      </c>
      <c r="C26" s="2"/>
      <c r="D26" s="2"/>
      <c r="E26" s="2"/>
      <c r="F26" s="3"/>
      <c r="G26" s="24"/>
      <c r="H26" s="24"/>
      <c r="I26" s="24"/>
      <c r="J26" s="24"/>
      <c r="K26" s="50">
        <f>+K18/G18-1</f>
        <v>-0.06212822207534696</v>
      </c>
      <c r="L26" s="24"/>
      <c r="M26" s="24"/>
      <c r="N26" s="24"/>
      <c r="O26" s="50">
        <f>+O18/G18-1</f>
        <v>-0.01569729015201593</v>
      </c>
      <c r="P26" s="56">
        <f>+O18/K18-1</f>
        <v>0.04950669485553205</v>
      </c>
      <c r="Q26" s="69"/>
      <c r="R26" s="28"/>
      <c r="S26" s="71">
        <f>+S18/G18-1</f>
        <v>0.7699933906146728</v>
      </c>
      <c r="T26" s="56">
        <f>+S18/K18-1</f>
        <v>0.8872445384073291</v>
      </c>
      <c r="U26" s="69">
        <f>+S18/O18-1</f>
        <v>0.7982205808292766</v>
      </c>
      <c r="V26" s="28"/>
    </row>
    <row r="27" spans="2:22" ht="5.25" customHeight="1" thickBot="1">
      <c r="B27" s="4"/>
      <c r="C27" s="5"/>
      <c r="D27" s="5"/>
      <c r="E27" s="5"/>
      <c r="F27" s="6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  <c r="S27" s="38"/>
      <c r="T27" s="39"/>
      <c r="U27" s="39"/>
      <c r="V27" s="40"/>
    </row>
    <row r="29" spans="2:22" ht="18">
      <c r="B29" s="57" t="s">
        <v>35</v>
      </c>
      <c r="K29" s="57">
        <v>0.68</v>
      </c>
      <c r="L29" s="57" t="s">
        <v>21</v>
      </c>
      <c r="M29" s="58">
        <f>+K29*($D$31+1)</f>
        <v>0.7276000000000001</v>
      </c>
      <c r="N29" s="57" t="s">
        <v>21</v>
      </c>
      <c r="O29" s="57">
        <v>0.99</v>
      </c>
      <c r="P29" s="57" t="s">
        <v>21</v>
      </c>
      <c r="Q29" s="58">
        <f>+O29*($D$31+1)</f>
        <v>1.0593000000000001</v>
      </c>
      <c r="R29" s="57" t="s">
        <v>21</v>
      </c>
      <c r="S29" s="57">
        <v>0.99</v>
      </c>
      <c r="T29" s="57" t="s">
        <v>21</v>
      </c>
      <c r="U29" s="58">
        <f>+S29*($D$31+1)</f>
        <v>1.0593000000000001</v>
      </c>
      <c r="V29" s="57" t="s">
        <v>21</v>
      </c>
    </row>
    <row r="30" spans="11:19" ht="15">
      <c r="K30" s="68" t="s">
        <v>42</v>
      </c>
      <c r="O30" s="68" t="s">
        <v>41</v>
      </c>
      <c r="S30" s="68" t="s">
        <v>41</v>
      </c>
    </row>
    <row r="31" spans="2:4" ht="15">
      <c r="B31" t="s">
        <v>54</v>
      </c>
      <c r="C31" s="42"/>
      <c r="D31">
        <v>0.07</v>
      </c>
    </row>
    <row r="32" ht="15">
      <c r="D32" s="80"/>
    </row>
  </sheetData>
  <sheetProtection/>
  <mergeCells count="19">
    <mergeCell ref="G21:J21"/>
    <mergeCell ref="K21:N21"/>
    <mergeCell ref="O21:R21"/>
    <mergeCell ref="S21:V21"/>
    <mergeCell ref="S11:V11"/>
    <mergeCell ref="G13:H13"/>
    <mergeCell ref="I13:J13"/>
    <mergeCell ref="K13:L13"/>
    <mergeCell ref="M13:N13"/>
    <mergeCell ref="O13:P13"/>
    <mergeCell ref="Q13:R13"/>
    <mergeCell ref="S13:T13"/>
    <mergeCell ref="U13:V13"/>
    <mergeCell ref="H2:I2"/>
    <mergeCell ref="G4:H4"/>
    <mergeCell ref="I4:J4"/>
    <mergeCell ref="G11:J11"/>
    <mergeCell ref="K11:N11"/>
    <mergeCell ref="O11:R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QV</dc:creator>
  <cp:keywords/>
  <dc:description/>
  <cp:lastModifiedBy>Ulrich Priebe</cp:lastModifiedBy>
  <dcterms:created xsi:type="dcterms:W3CDTF">2020-12-09T13:24:11Z</dcterms:created>
  <dcterms:modified xsi:type="dcterms:W3CDTF">2023-02-10T12:27:26Z</dcterms:modified>
  <cp:category/>
  <cp:version/>
  <cp:contentType/>
  <cp:contentStatus/>
</cp:coreProperties>
</file>